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5135" windowHeight="7110" activeTab="0"/>
  </bookViews>
  <sheets>
    <sheet name="Ведомст прогр" sheetId="1" r:id="rId1"/>
    <sheet name="Лист1" sheetId="2" r:id="rId2"/>
  </sheets>
  <definedNames>
    <definedName name="_xlnm.Print_Titles" localSheetId="0">'Ведомст прогр'!$8:$10</definedName>
    <definedName name="_xlnm.Print_Area" localSheetId="0">'Ведомст прогр'!$A$1:$AG$35</definedName>
  </definedNames>
  <calcPr fullCalcOnLoad="1"/>
</workbook>
</file>

<file path=xl/sharedStrings.xml><?xml version="1.0" encoding="utf-8"?>
<sst xmlns="http://schemas.openxmlformats.org/spreadsheetml/2006/main" count="99" uniqueCount="57">
  <si>
    <t>Целевая статья расходов</t>
  </si>
  <si>
    <t>Наименование</t>
  </si>
  <si>
    <t xml:space="preserve">                                        к Решению районной Думы</t>
  </si>
  <si>
    <t>Раздел, подраздел</t>
  </si>
  <si>
    <t>0801</t>
  </si>
  <si>
    <t>(тыс. рублей)</t>
  </si>
  <si>
    <t>0700</t>
  </si>
  <si>
    <t>0701</t>
  </si>
  <si>
    <t>0702</t>
  </si>
  <si>
    <t xml:space="preserve">КУЛЬТУРА И КИНЕМАТОГРАФИЯ </t>
  </si>
  <si>
    <t>Культура</t>
  </si>
  <si>
    <t>0800</t>
  </si>
  <si>
    <t>ОБРАЗОВАНИЕ</t>
  </si>
  <si>
    <t>Дошкольное образование</t>
  </si>
  <si>
    <t>Общее образование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</si>
  <si>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</si>
  <si>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</si>
  <si>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бюджетные ассигнования</t>
  </si>
  <si>
    <t>Социальное обеспечение и иные выплаты населению</t>
  </si>
  <si>
    <t xml:space="preserve">50 0 </t>
  </si>
  <si>
    <t xml:space="preserve">51 0 </t>
  </si>
  <si>
    <t>Предоставление субсидий бюджетным, автономным учреждениям и иным некоммерческим организациям</t>
  </si>
  <si>
    <t>Молодежная политика и оздоровление детей</t>
  </si>
  <si>
    <t>0707</t>
  </si>
  <si>
    <t>Дополнительное образование детей</t>
  </si>
  <si>
    <t>0703</t>
  </si>
  <si>
    <t>Сумма</t>
  </si>
  <si>
    <t>2019 год</t>
  </si>
  <si>
    <t>Группа видов расходов</t>
  </si>
  <si>
    <t>изменения сент</t>
  </si>
  <si>
    <t>изменения (октябрь)</t>
  </si>
  <si>
    <t>изменения (октябрь) 30.10.2018</t>
  </si>
  <si>
    <t xml:space="preserve">                                             (в ред.от  __.__.2018 г. № ______ )</t>
  </si>
  <si>
    <r>
      <t xml:space="preserve">2021 год </t>
    </r>
    <r>
      <rPr>
        <sz val="9"/>
        <color indexed="8"/>
        <rFont val="Times New Roman"/>
        <family val="1"/>
      </rPr>
      <t>(проект бюджета)</t>
    </r>
  </si>
  <si>
    <t>"Реализация мероприятий культурной политики на территории Старополтавского муниципального района" на 2021-2023 годы</t>
  </si>
  <si>
    <t>"Развитие  образования Старополтавского муниципального района Волгоградской области" на 2021-2023 годы</t>
  </si>
  <si>
    <t>Субсидии на иные цели автономным учреждениям (сертифицированное допобразование)</t>
  </si>
  <si>
    <t>изм 10.03. обл</t>
  </si>
  <si>
    <t>изм 10.03. р-он</t>
  </si>
  <si>
    <t>2021 год</t>
  </si>
  <si>
    <t>изм обл 09.04.21</t>
  </si>
  <si>
    <t>изм р-он 09.04.21</t>
  </si>
  <si>
    <t>изменения обл (20.05)</t>
  </si>
  <si>
    <t>изменения район (20.05)</t>
  </si>
  <si>
    <t>изменения обл (01.07)</t>
  </si>
  <si>
    <t>изменения район (01.07)</t>
  </si>
  <si>
    <t>изменения обл (15.09)</t>
  </si>
  <si>
    <t>изменения район (15.09)</t>
  </si>
  <si>
    <t>изменения 25.10.21</t>
  </si>
  <si>
    <t>изменения район</t>
  </si>
  <si>
    <t>изменения область</t>
  </si>
  <si>
    <t xml:space="preserve">План </t>
  </si>
  <si>
    <t>Факт</t>
  </si>
  <si>
    <t>% исполнения</t>
  </si>
  <si>
    <t>Распределение бюджетных ассигнований на реализацию ведомственных  программ за  2021 г.</t>
  </si>
  <si>
    <t xml:space="preserve">                                                   №       от           2022 г.</t>
  </si>
  <si>
    <t xml:space="preserve">                                           Приложение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</si>
</sst>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72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2" fontId="16" fillId="32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172" fontId="4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8.140625" style="0" customWidth="1"/>
    <col min="2" max="2" width="9.140625" style="0" customWidth="1"/>
    <col min="3" max="3" width="10.421875" style="0" customWidth="1"/>
    <col min="4" max="4" width="8.00390625" style="0" customWidth="1"/>
    <col min="5" max="6" width="14.7109375" style="0" hidden="1" customWidth="1"/>
    <col min="7" max="9" width="10.7109375" style="0" hidden="1" customWidth="1"/>
    <col min="10" max="10" width="11.00390625" style="0" hidden="1" customWidth="1"/>
    <col min="11" max="12" width="12.28125" style="0" hidden="1" customWidth="1"/>
    <col min="13" max="13" width="11.00390625" style="0" hidden="1" customWidth="1"/>
    <col min="14" max="14" width="12.57421875" style="0" hidden="1" customWidth="1"/>
    <col min="15" max="15" width="12.28125" style="0" hidden="1" customWidth="1"/>
    <col min="16" max="16" width="13.421875" style="0" hidden="1" customWidth="1"/>
    <col min="17" max="17" width="13.00390625" style="0" hidden="1" customWidth="1"/>
    <col min="18" max="18" width="11.28125" style="0" hidden="1" customWidth="1"/>
    <col min="19" max="19" width="10.7109375" style="0" hidden="1" customWidth="1"/>
    <col min="20" max="20" width="12.57421875" style="0" hidden="1" customWidth="1"/>
    <col min="21" max="21" width="13.00390625" style="0" hidden="1" customWidth="1"/>
    <col min="22" max="23" width="13.57421875" style="0" hidden="1" customWidth="1"/>
    <col min="24" max="24" width="11.00390625" style="0" hidden="1" customWidth="1"/>
    <col min="25" max="25" width="13.421875" style="0" customWidth="1"/>
    <col min="26" max="26" width="10.57421875" style="0" hidden="1" customWidth="1"/>
    <col min="27" max="27" width="13.28125" style="14" hidden="1" customWidth="1"/>
    <col min="28" max="28" width="12.7109375" style="0" hidden="1" customWidth="1"/>
    <col min="29" max="29" width="12.00390625" style="0" hidden="1" customWidth="1"/>
    <col min="30" max="31" width="11.7109375" style="0" hidden="1" customWidth="1"/>
    <col min="32" max="32" width="13.421875" style="0" customWidth="1"/>
    <col min="33" max="33" width="13.00390625" style="0" customWidth="1"/>
  </cols>
  <sheetData>
    <row r="1" spans="1:33" ht="19.5" customHeight="1">
      <c r="A1" s="18"/>
      <c r="B1" s="18"/>
      <c r="C1" s="71" t="s">
        <v>56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5.75">
      <c r="A2" s="18"/>
      <c r="B2" s="18"/>
      <c r="C2" s="72" t="s">
        <v>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8.75" customHeight="1">
      <c r="A3" s="18"/>
      <c r="B3" s="18"/>
      <c r="C3" s="72" t="s">
        <v>55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23.25" customHeight="1" hidden="1">
      <c r="A4" s="18"/>
      <c r="B4" s="18"/>
      <c r="C4" s="72" t="s">
        <v>32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8.75" customHeight="1">
      <c r="A5" s="18"/>
      <c r="B5" s="18"/>
      <c r="C5" s="19"/>
      <c r="D5" s="19"/>
      <c r="E5" s="19"/>
      <c r="F5" s="19"/>
      <c r="G5" s="19"/>
      <c r="H5" s="72"/>
      <c r="I5" s="72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ht="30" customHeight="1">
      <c r="A6" s="73" t="s">
        <v>54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3:33" ht="18.75" customHeight="1">
      <c r="C7" s="2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20" t="s">
        <v>5</v>
      </c>
    </row>
    <row r="8" spans="1:33" ht="15" customHeight="1">
      <c r="A8" s="80" t="s">
        <v>1</v>
      </c>
      <c r="B8" s="75" t="s">
        <v>3</v>
      </c>
      <c r="C8" s="75" t="s">
        <v>0</v>
      </c>
      <c r="D8" s="75" t="s">
        <v>28</v>
      </c>
      <c r="E8" s="77" t="s">
        <v>26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9"/>
    </row>
    <row r="9" spans="1:33" ht="43.5" customHeight="1">
      <c r="A9" s="81"/>
      <c r="B9" s="76"/>
      <c r="C9" s="76"/>
      <c r="D9" s="76"/>
      <c r="E9" s="21" t="s">
        <v>33</v>
      </c>
      <c r="F9" s="21" t="s">
        <v>37</v>
      </c>
      <c r="G9" s="21" t="s">
        <v>38</v>
      </c>
      <c r="H9" s="21" t="s">
        <v>39</v>
      </c>
      <c r="I9" s="21" t="s">
        <v>40</v>
      </c>
      <c r="J9" s="21" t="s">
        <v>41</v>
      </c>
      <c r="K9" s="21" t="s">
        <v>39</v>
      </c>
      <c r="L9" s="26" t="s">
        <v>42</v>
      </c>
      <c r="M9" s="26" t="s">
        <v>43</v>
      </c>
      <c r="N9" s="21" t="s">
        <v>39</v>
      </c>
      <c r="O9" s="26" t="s">
        <v>44</v>
      </c>
      <c r="P9" s="26" t="s">
        <v>45</v>
      </c>
      <c r="Q9" s="21" t="s">
        <v>39</v>
      </c>
      <c r="R9" s="26" t="s">
        <v>46</v>
      </c>
      <c r="S9" s="26" t="s">
        <v>47</v>
      </c>
      <c r="T9" s="21" t="s">
        <v>39</v>
      </c>
      <c r="U9" s="26" t="s">
        <v>48</v>
      </c>
      <c r="V9" s="21" t="s">
        <v>39</v>
      </c>
      <c r="W9" s="26" t="s">
        <v>50</v>
      </c>
      <c r="X9" s="26" t="s">
        <v>49</v>
      </c>
      <c r="Y9" s="21" t="s">
        <v>51</v>
      </c>
      <c r="Z9" s="26" t="s">
        <v>29</v>
      </c>
      <c r="AA9" s="21" t="s">
        <v>27</v>
      </c>
      <c r="AB9" s="26" t="s">
        <v>30</v>
      </c>
      <c r="AC9" s="21" t="s">
        <v>27</v>
      </c>
      <c r="AD9" s="26" t="s">
        <v>31</v>
      </c>
      <c r="AE9" s="21" t="s">
        <v>27</v>
      </c>
      <c r="AF9" s="25" t="s">
        <v>52</v>
      </c>
      <c r="AG9" s="25" t="s">
        <v>53</v>
      </c>
    </row>
    <row r="10" spans="1:33" ht="12" customHeight="1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4"/>
      <c r="G10" s="4"/>
      <c r="H10" s="4"/>
      <c r="I10" s="4"/>
      <c r="J10" s="4">
        <v>5</v>
      </c>
      <c r="K10" s="4">
        <v>6</v>
      </c>
      <c r="L10" s="4"/>
      <c r="M10" s="4">
        <v>5</v>
      </c>
      <c r="N10" s="4">
        <v>6</v>
      </c>
      <c r="O10" s="4"/>
      <c r="P10" s="4">
        <v>5</v>
      </c>
      <c r="Q10" s="4">
        <v>6</v>
      </c>
      <c r="R10" s="4"/>
      <c r="S10" s="4">
        <v>5</v>
      </c>
      <c r="T10" s="4">
        <v>6</v>
      </c>
      <c r="U10" s="4">
        <v>5</v>
      </c>
      <c r="V10" s="4">
        <v>6</v>
      </c>
      <c r="W10" s="4"/>
      <c r="X10" s="4">
        <v>5</v>
      </c>
      <c r="Y10" s="4">
        <v>5</v>
      </c>
      <c r="Z10" s="4"/>
      <c r="AA10" s="4"/>
      <c r="AB10" s="4"/>
      <c r="AC10" s="4"/>
      <c r="AD10" s="4"/>
      <c r="AE10" s="4"/>
      <c r="AF10" s="8">
        <v>6</v>
      </c>
      <c r="AG10" s="8">
        <v>7</v>
      </c>
    </row>
    <row r="11" spans="1:33" ht="65.25" customHeight="1">
      <c r="A11" s="34" t="s">
        <v>34</v>
      </c>
      <c r="B11" s="35"/>
      <c r="C11" s="45"/>
      <c r="D11" s="45"/>
      <c r="E11" s="37">
        <f>E12</f>
        <v>5510.516</v>
      </c>
      <c r="F11" s="37"/>
      <c r="G11" s="37">
        <f>G12</f>
        <v>0</v>
      </c>
      <c r="H11" s="37">
        <f>E11+G11</f>
        <v>5510.516</v>
      </c>
      <c r="I11" s="37"/>
      <c r="J11" s="37"/>
      <c r="K11" s="37">
        <f>H11+J11</f>
        <v>5510.516</v>
      </c>
      <c r="L11" s="37">
        <f aca="true" t="shared" si="0" ref="L11:M13">L12</f>
        <v>0</v>
      </c>
      <c r="M11" s="37">
        <f t="shared" si="0"/>
        <v>0</v>
      </c>
      <c r="N11" s="37">
        <f aca="true" t="shared" si="1" ref="N11:N35">K11+M11+L11</f>
        <v>5510.516</v>
      </c>
      <c r="O11" s="37"/>
      <c r="P11" s="37">
        <f>P12</f>
        <v>0</v>
      </c>
      <c r="Q11" s="37">
        <f>N11+P11</f>
        <v>5510.516</v>
      </c>
      <c r="R11" s="37"/>
      <c r="S11" s="37"/>
      <c r="T11" s="37">
        <f aca="true" t="shared" si="2" ref="T11:T35">Q11+S11+R11</f>
        <v>5510.516</v>
      </c>
      <c r="U11" s="37"/>
      <c r="V11" s="37">
        <f>T11+U11</f>
        <v>5510.516</v>
      </c>
      <c r="W11" s="37"/>
      <c r="X11" s="37"/>
      <c r="Y11" s="37">
        <f>V11+X11</f>
        <v>5510.516</v>
      </c>
      <c r="Z11" s="37"/>
      <c r="AA11" s="38">
        <f>Y11+Z11</f>
        <v>5510.516</v>
      </c>
      <c r="AB11" s="38">
        <f>AB12</f>
        <v>0</v>
      </c>
      <c r="AC11" s="38">
        <f>AA11+AB11</f>
        <v>5510.516</v>
      </c>
      <c r="AD11" s="38">
        <f>AD12</f>
        <v>0</v>
      </c>
      <c r="AE11" s="38">
        <f>AC11+AD11</f>
        <v>5510.516</v>
      </c>
      <c r="AF11" s="37">
        <f aca="true" t="shared" si="3" ref="AF11:AG13">AF12</f>
        <v>5510.5</v>
      </c>
      <c r="AG11" s="37">
        <f t="shared" si="3"/>
        <v>99.99970964606581</v>
      </c>
    </row>
    <row r="12" spans="1:33" ht="21" customHeight="1">
      <c r="A12" s="27" t="s">
        <v>9</v>
      </c>
      <c r="B12" s="15" t="s">
        <v>11</v>
      </c>
      <c r="C12" s="17"/>
      <c r="D12" s="17"/>
      <c r="E12" s="16">
        <f>E13</f>
        <v>5510.516</v>
      </c>
      <c r="F12" s="16"/>
      <c r="G12" s="16">
        <f>G13</f>
        <v>0</v>
      </c>
      <c r="H12" s="46">
        <f aca="true" t="shared" si="4" ref="H12:H35">E12+G12</f>
        <v>5510.516</v>
      </c>
      <c r="I12" s="46"/>
      <c r="J12" s="16"/>
      <c r="K12" s="16">
        <f aca="true" t="shared" si="5" ref="K12:K17">H12+J12</f>
        <v>5510.516</v>
      </c>
      <c r="L12" s="16">
        <f t="shared" si="0"/>
        <v>0</v>
      </c>
      <c r="M12" s="16">
        <f t="shared" si="0"/>
        <v>0</v>
      </c>
      <c r="N12" s="46">
        <f t="shared" si="1"/>
        <v>5510.516</v>
      </c>
      <c r="O12" s="16"/>
      <c r="P12" s="16">
        <f>P13</f>
        <v>0</v>
      </c>
      <c r="Q12" s="46">
        <f>N12+P12</f>
        <v>5510.516</v>
      </c>
      <c r="R12" s="46"/>
      <c r="S12" s="16"/>
      <c r="T12" s="37">
        <f t="shared" si="2"/>
        <v>5510.516</v>
      </c>
      <c r="U12" s="16"/>
      <c r="V12" s="16">
        <f>T12+U12</f>
        <v>5510.516</v>
      </c>
      <c r="W12" s="16"/>
      <c r="X12" s="16"/>
      <c r="Y12" s="16">
        <f>V12+X12</f>
        <v>5510.516</v>
      </c>
      <c r="Z12" s="16"/>
      <c r="AA12" s="16">
        <f aca="true" t="shared" si="6" ref="AA12:AA35">Y12+Z12</f>
        <v>5510.516</v>
      </c>
      <c r="AB12" s="16">
        <f>AB13</f>
        <v>0</v>
      </c>
      <c r="AC12" s="16">
        <f aca="true" t="shared" si="7" ref="AC12:AC35">AA12+AB12</f>
        <v>5510.516</v>
      </c>
      <c r="AD12" s="16">
        <f>AD13</f>
        <v>0</v>
      </c>
      <c r="AE12" s="16">
        <f aca="true" t="shared" si="8" ref="AE12:AE35">AC12+AD12</f>
        <v>5510.516</v>
      </c>
      <c r="AF12" s="16">
        <f t="shared" si="3"/>
        <v>5510.5</v>
      </c>
      <c r="AG12" s="16">
        <f>AF12/Y12*100</f>
        <v>99.99970964606581</v>
      </c>
    </row>
    <row r="13" spans="1:33" ht="19.5" customHeight="1">
      <c r="A13" s="28" t="s">
        <v>10</v>
      </c>
      <c r="B13" s="29" t="s">
        <v>4</v>
      </c>
      <c r="C13" s="30"/>
      <c r="D13" s="30"/>
      <c r="E13" s="31">
        <f>E14</f>
        <v>5510.516</v>
      </c>
      <c r="F13" s="31"/>
      <c r="G13" s="31">
        <f>G14</f>
        <v>0</v>
      </c>
      <c r="H13" s="47">
        <f t="shared" si="4"/>
        <v>5510.516</v>
      </c>
      <c r="I13" s="47"/>
      <c r="J13" s="31">
        <f>J14</f>
        <v>0</v>
      </c>
      <c r="K13" s="31">
        <f>K14</f>
        <v>5510.516</v>
      </c>
      <c r="L13" s="31">
        <f t="shared" si="0"/>
        <v>0</v>
      </c>
      <c r="M13" s="31">
        <f t="shared" si="0"/>
        <v>0</v>
      </c>
      <c r="N13" s="46">
        <f t="shared" si="1"/>
        <v>5510.516</v>
      </c>
      <c r="O13" s="31"/>
      <c r="P13" s="31">
        <f>P14</f>
        <v>0</v>
      </c>
      <c r="Q13" s="47">
        <f>N13+P13</f>
        <v>5510.516</v>
      </c>
      <c r="R13" s="47"/>
      <c r="S13" s="31">
        <f>S14</f>
        <v>0</v>
      </c>
      <c r="T13" s="37">
        <f t="shared" si="2"/>
        <v>5510.516</v>
      </c>
      <c r="U13" s="31">
        <f>U14</f>
        <v>0</v>
      </c>
      <c r="V13" s="31">
        <f>V14</f>
        <v>5510.516</v>
      </c>
      <c r="W13" s="31">
        <f>W14</f>
        <v>0</v>
      </c>
      <c r="X13" s="31">
        <f>X14</f>
        <v>0</v>
      </c>
      <c r="Y13" s="31">
        <f>Y14</f>
        <v>5510.516</v>
      </c>
      <c r="Z13" s="31"/>
      <c r="AA13" s="31">
        <f t="shared" si="6"/>
        <v>5510.516</v>
      </c>
      <c r="AB13" s="31">
        <f>AB14</f>
        <v>0</v>
      </c>
      <c r="AC13" s="31">
        <f t="shared" si="7"/>
        <v>5510.516</v>
      </c>
      <c r="AD13" s="31">
        <f>AD14</f>
        <v>0</v>
      </c>
      <c r="AE13" s="31">
        <f t="shared" si="8"/>
        <v>5510.516</v>
      </c>
      <c r="AF13" s="31">
        <f t="shared" si="3"/>
        <v>5510.5</v>
      </c>
      <c r="AG13" s="16">
        <f>AF13/Y13*100</f>
        <v>99.99970964606581</v>
      </c>
    </row>
    <row r="14" spans="1:33" ht="48.75" customHeight="1">
      <c r="A14" s="10" t="s">
        <v>21</v>
      </c>
      <c r="B14" s="7" t="s">
        <v>4</v>
      </c>
      <c r="C14" s="11" t="s">
        <v>19</v>
      </c>
      <c r="D14" s="11">
        <v>600</v>
      </c>
      <c r="E14" s="1">
        <f>3945.9+1564.616</f>
        <v>5510.516</v>
      </c>
      <c r="F14" s="1"/>
      <c r="G14" s="1"/>
      <c r="H14" s="22">
        <f t="shared" si="4"/>
        <v>5510.516</v>
      </c>
      <c r="I14" s="22"/>
      <c r="J14" s="1"/>
      <c r="K14" s="1">
        <f t="shared" si="5"/>
        <v>5510.516</v>
      </c>
      <c r="L14" s="1"/>
      <c r="M14" s="1"/>
      <c r="N14" s="46">
        <f t="shared" si="1"/>
        <v>5510.516</v>
      </c>
      <c r="O14" s="1"/>
      <c r="P14" s="1"/>
      <c r="Q14" s="46">
        <f>N14+P14+O14</f>
        <v>5510.516</v>
      </c>
      <c r="R14" s="46"/>
      <c r="S14" s="1"/>
      <c r="T14" s="37">
        <f t="shared" si="2"/>
        <v>5510.516</v>
      </c>
      <c r="U14" s="1"/>
      <c r="V14" s="1">
        <f>T14+U14</f>
        <v>5510.516</v>
      </c>
      <c r="W14" s="1"/>
      <c r="X14" s="1"/>
      <c r="Y14" s="1">
        <f>V14+X14</f>
        <v>5510.516</v>
      </c>
      <c r="Z14" s="1"/>
      <c r="AA14" s="1">
        <f t="shared" si="6"/>
        <v>5510.516</v>
      </c>
      <c r="AB14" s="1"/>
      <c r="AC14" s="1">
        <f t="shared" si="7"/>
        <v>5510.516</v>
      </c>
      <c r="AD14" s="1"/>
      <c r="AE14" s="1">
        <f t="shared" si="8"/>
        <v>5510.516</v>
      </c>
      <c r="AF14" s="1">
        <v>5510.5</v>
      </c>
      <c r="AG14" s="16">
        <f>AF14/Y14*100</f>
        <v>99.99970964606581</v>
      </c>
    </row>
    <row r="15" spans="1:33" ht="13.5" customHeight="1">
      <c r="A15" s="12"/>
      <c r="B15" s="7"/>
      <c r="C15" s="4"/>
      <c r="D15" s="4"/>
      <c r="E15" s="5"/>
      <c r="F15" s="5"/>
      <c r="G15" s="5"/>
      <c r="H15" s="22"/>
      <c r="I15" s="22"/>
      <c r="J15" s="5"/>
      <c r="K15" s="1">
        <f t="shared" si="5"/>
        <v>0</v>
      </c>
      <c r="L15" s="5"/>
      <c r="M15" s="5"/>
      <c r="N15" s="46">
        <f t="shared" si="1"/>
        <v>0</v>
      </c>
      <c r="O15" s="1"/>
      <c r="P15" s="5"/>
      <c r="Q15" s="22">
        <f>N15+P15</f>
        <v>0</v>
      </c>
      <c r="R15" s="22"/>
      <c r="S15" s="5"/>
      <c r="T15" s="37">
        <f t="shared" si="2"/>
        <v>0</v>
      </c>
      <c r="U15" s="5"/>
      <c r="V15" s="1"/>
      <c r="W15" s="1"/>
      <c r="X15" s="5"/>
      <c r="Y15" s="1"/>
      <c r="Z15" s="1"/>
      <c r="AA15" s="1"/>
      <c r="AB15" s="1"/>
      <c r="AC15" s="1"/>
      <c r="AD15" s="1"/>
      <c r="AE15" s="1">
        <f t="shared" si="8"/>
        <v>0</v>
      </c>
      <c r="AF15" s="5"/>
      <c r="AG15" s="5"/>
    </row>
    <row r="16" spans="1:33" ht="54" customHeight="1">
      <c r="A16" s="34" t="s">
        <v>35</v>
      </c>
      <c r="B16" s="35"/>
      <c r="C16" s="36"/>
      <c r="D16" s="36"/>
      <c r="E16" s="37">
        <f>E17</f>
        <v>299887.8</v>
      </c>
      <c r="F16" s="37"/>
      <c r="G16" s="37">
        <f>G17</f>
        <v>1348.3</v>
      </c>
      <c r="H16" s="37">
        <f t="shared" si="4"/>
        <v>301236.1</v>
      </c>
      <c r="I16" s="37"/>
      <c r="J16" s="37">
        <f>J17</f>
        <v>2032.0000000000005</v>
      </c>
      <c r="K16" s="37">
        <f>H16+J16+I16</f>
        <v>303268.1</v>
      </c>
      <c r="L16" s="37">
        <f>L17</f>
        <v>0</v>
      </c>
      <c r="M16" s="37">
        <f>M17</f>
        <v>1774.4</v>
      </c>
      <c r="N16" s="37">
        <f t="shared" si="1"/>
        <v>305042.5</v>
      </c>
      <c r="O16" s="37">
        <f>O17</f>
        <v>750</v>
      </c>
      <c r="P16" s="37">
        <f>P17</f>
        <v>4527.1</v>
      </c>
      <c r="Q16" s="37">
        <f aca="true" t="shared" si="9" ref="Q16:Q32">N16+P16+O16</f>
        <v>310319.6</v>
      </c>
      <c r="R16" s="37">
        <f>R17</f>
        <v>-4445.2</v>
      </c>
      <c r="S16" s="37">
        <f>S17</f>
        <v>1608.8000000000002</v>
      </c>
      <c r="T16" s="37">
        <f t="shared" si="2"/>
        <v>307483.19999999995</v>
      </c>
      <c r="U16" s="37">
        <f aca="true" t="shared" si="10" ref="U16:Z16">U17</f>
        <v>1140.9</v>
      </c>
      <c r="V16" s="37">
        <f t="shared" si="10"/>
        <v>308579.89999999997</v>
      </c>
      <c r="W16" s="37">
        <f t="shared" si="10"/>
        <v>1311.7000000000003</v>
      </c>
      <c r="X16" s="37">
        <f t="shared" si="10"/>
        <v>-7260.2</v>
      </c>
      <c r="Y16" s="37">
        <f t="shared" si="10"/>
        <v>302631.39999999997</v>
      </c>
      <c r="Z16" s="38">
        <f t="shared" si="10"/>
        <v>0</v>
      </c>
      <c r="AA16" s="37">
        <f t="shared" si="6"/>
        <v>302631.39999999997</v>
      </c>
      <c r="AB16" s="38"/>
      <c r="AC16" s="38">
        <f t="shared" si="7"/>
        <v>302631.39999999997</v>
      </c>
      <c r="AD16" s="38">
        <f>AD17</f>
        <v>0</v>
      </c>
      <c r="AE16" s="38">
        <f t="shared" si="8"/>
        <v>302631.39999999997</v>
      </c>
      <c r="AF16" s="37">
        <f>AF17</f>
        <v>299760.9</v>
      </c>
      <c r="AG16" s="37">
        <f aca="true" t="shared" si="11" ref="AG16:AG35">AF16/Y16*100</f>
        <v>99.05148639566154</v>
      </c>
    </row>
    <row r="17" spans="1:33" ht="18" customHeight="1">
      <c r="A17" s="27" t="s">
        <v>12</v>
      </c>
      <c r="B17" s="15" t="s">
        <v>6</v>
      </c>
      <c r="C17" s="32"/>
      <c r="D17" s="32"/>
      <c r="E17" s="16">
        <f>E18+E23+E28+E33</f>
        <v>299887.8</v>
      </c>
      <c r="F17" s="16"/>
      <c r="G17" s="16">
        <f>G18+G23+G28+G33</f>
        <v>1348.3</v>
      </c>
      <c r="H17" s="46">
        <f t="shared" si="4"/>
        <v>301236.1</v>
      </c>
      <c r="I17" s="46"/>
      <c r="J17" s="16">
        <f>J18+J23+J28+J33</f>
        <v>2032.0000000000005</v>
      </c>
      <c r="K17" s="16">
        <f t="shared" si="5"/>
        <v>303268.1</v>
      </c>
      <c r="L17" s="16">
        <f>L18+L23+L28+L33</f>
        <v>0</v>
      </c>
      <c r="M17" s="16">
        <f>M18+M23+M28+M33</f>
        <v>1774.4</v>
      </c>
      <c r="N17" s="46">
        <f t="shared" si="1"/>
        <v>305042.5</v>
      </c>
      <c r="O17" s="16">
        <f>O18+O23+O28+O33</f>
        <v>750</v>
      </c>
      <c r="P17" s="16">
        <f>P18+P23+P28+P33</f>
        <v>4527.1</v>
      </c>
      <c r="Q17" s="46">
        <f t="shared" si="9"/>
        <v>310319.6</v>
      </c>
      <c r="R17" s="16">
        <f>R18+R23+R28+R33</f>
        <v>-4445.2</v>
      </c>
      <c r="S17" s="16">
        <f>S18+S23+S28+S33</f>
        <v>1608.8000000000002</v>
      </c>
      <c r="T17" s="37">
        <f t="shared" si="2"/>
        <v>307483.19999999995</v>
      </c>
      <c r="U17" s="16">
        <f aca="true" t="shared" si="12" ref="U17:AE17">U18+U23+U28+U33</f>
        <v>1140.9</v>
      </c>
      <c r="V17" s="16">
        <f>V18+V23+V28+V33</f>
        <v>308579.89999999997</v>
      </c>
      <c r="W17" s="16">
        <f>W18+W23+W28+W33</f>
        <v>1311.7000000000003</v>
      </c>
      <c r="X17" s="16">
        <f t="shared" si="12"/>
        <v>-7260.2</v>
      </c>
      <c r="Y17" s="16">
        <f t="shared" si="12"/>
        <v>302631.39999999997</v>
      </c>
      <c r="Z17" s="1">
        <f t="shared" si="12"/>
        <v>0</v>
      </c>
      <c r="AA17" s="16">
        <f t="shared" si="12"/>
        <v>302563.5</v>
      </c>
      <c r="AB17" s="16">
        <f t="shared" si="12"/>
        <v>0</v>
      </c>
      <c r="AC17" s="16">
        <f t="shared" si="12"/>
        <v>302563.5</v>
      </c>
      <c r="AD17" s="16">
        <f t="shared" si="12"/>
        <v>0</v>
      </c>
      <c r="AE17" s="16">
        <f t="shared" si="12"/>
        <v>302563.5</v>
      </c>
      <c r="AF17" s="16">
        <f>AF18+AF23+AF28+AF33</f>
        <v>299760.9</v>
      </c>
      <c r="AG17" s="16">
        <f t="shared" si="11"/>
        <v>99.05148639566154</v>
      </c>
    </row>
    <row r="18" spans="1:33" ht="21" customHeight="1">
      <c r="A18" s="28" t="s">
        <v>13</v>
      </c>
      <c r="B18" s="29" t="s">
        <v>7</v>
      </c>
      <c r="C18" s="33"/>
      <c r="D18" s="33"/>
      <c r="E18" s="31">
        <f>E19+E20+E22</f>
        <v>59254.9</v>
      </c>
      <c r="F18" s="31"/>
      <c r="G18" s="31">
        <f aca="true" t="shared" si="13" ref="G18:AE18">G19+G20+G22</f>
        <v>0</v>
      </c>
      <c r="H18" s="47">
        <f t="shared" si="4"/>
        <v>59254.9</v>
      </c>
      <c r="I18" s="47"/>
      <c r="J18" s="31">
        <f t="shared" si="13"/>
        <v>50</v>
      </c>
      <c r="K18" s="16">
        <f>SUM(K19:K22)</f>
        <v>59304.899999999994</v>
      </c>
      <c r="L18" s="31">
        <f>L19+L20+L22</f>
        <v>0</v>
      </c>
      <c r="M18" s="31">
        <f t="shared" si="13"/>
        <v>223.9</v>
      </c>
      <c r="N18" s="46">
        <f t="shared" si="1"/>
        <v>59528.799999999996</v>
      </c>
      <c r="O18" s="31">
        <f t="shared" si="13"/>
        <v>0</v>
      </c>
      <c r="P18" s="31">
        <f t="shared" si="13"/>
        <v>267.59999999999997</v>
      </c>
      <c r="Q18" s="46">
        <f t="shared" si="9"/>
        <v>59796.399999999994</v>
      </c>
      <c r="R18" s="52">
        <f>SUM(R19:R20)</f>
        <v>-4544</v>
      </c>
      <c r="S18" s="52">
        <f>SUM(S19:S22)</f>
        <v>87</v>
      </c>
      <c r="T18" s="37">
        <f>Q18+S18+R18</f>
        <v>55339.399999999994</v>
      </c>
      <c r="U18" s="31">
        <f>U19+U20+U22</f>
        <v>68.39999999999999</v>
      </c>
      <c r="V18" s="31">
        <f>V19+V20+V21+V22</f>
        <v>55418.600000000006</v>
      </c>
      <c r="W18" s="31">
        <f>W19+W20+W22</f>
        <v>-1845.2</v>
      </c>
      <c r="X18" s="31">
        <f t="shared" si="13"/>
        <v>-1046</v>
      </c>
      <c r="Y18" s="51">
        <f>V18+X18+W18</f>
        <v>52527.40000000001</v>
      </c>
      <c r="Z18" s="48">
        <f t="shared" si="13"/>
        <v>0</v>
      </c>
      <c r="AA18" s="31">
        <f t="shared" si="13"/>
        <v>52459.50000000001</v>
      </c>
      <c r="AB18" s="31">
        <f t="shared" si="13"/>
        <v>0</v>
      </c>
      <c r="AC18" s="31">
        <f t="shared" si="13"/>
        <v>52459.50000000001</v>
      </c>
      <c r="AD18" s="31">
        <f t="shared" si="13"/>
        <v>0</v>
      </c>
      <c r="AE18" s="31">
        <f t="shared" si="13"/>
        <v>52459.50000000001</v>
      </c>
      <c r="AF18" s="31">
        <f>AF19++AF20+AF21+AF22</f>
        <v>51448</v>
      </c>
      <c r="AG18" s="16">
        <f t="shared" si="11"/>
        <v>97.9450724764599</v>
      </c>
    </row>
    <row r="19" spans="1:33" ht="53.25" customHeight="1">
      <c r="A19" s="9" t="s">
        <v>15</v>
      </c>
      <c r="B19" s="7" t="s">
        <v>7</v>
      </c>
      <c r="C19" s="11" t="s">
        <v>20</v>
      </c>
      <c r="D19" s="11">
        <v>100</v>
      </c>
      <c r="E19" s="22">
        <f>15550.9+23920+8311.6</f>
        <v>47782.5</v>
      </c>
      <c r="F19" s="22"/>
      <c r="G19" s="47"/>
      <c r="H19" s="22">
        <f t="shared" si="4"/>
        <v>47782.5</v>
      </c>
      <c r="I19" s="22">
        <f>-327.9-201.4</f>
        <v>-529.3</v>
      </c>
      <c r="J19" s="47"/>
      <c r="K19" s="22">
        <f>H19+I19+J19</f>
        <v>47253.2</v>
      </c>
      <c r="L19" s="47"/>
      <c r="M19" s="47">
        <f>75+148.9</f>
        <v>223.9</v>
      </c>
      <c r="N19" s="46">
        <f t="shared" si="1"/>
        <v>47477.1</v>
      </c>
      <c r="O19" s="47"/>
      <c r="P19" s="47"/>
      <c r="Q19" s="46">
        <f t="shared" si="9"/>
        <v>47477.1</v>
      </c>
      <c r="R19" s="22">
        <f>-651.8-1707.9-592-1592.3</f>
        <v>-4544</v>
      </c>
      <c r="S19" s="22">
        <v>-68</v>
      </c>
      <c r="T19" s="37">
        <f t="shared" si="2"/>
        <v>42865.1</v>
      </c>
      <c r="U19" s="47"/>
      <c r="V19" s="22">
        <v>42875.9</v>
      </c>
      <c r="W19" s="22">
        <f>-440.8-1404.4</f>
        <v>-1845.2</v>
      </c>
      <c r="X19" s="22">
        <v>1.8</v>
      </c>
      <c r="Y19" s="22">
        <f>V19+X19+W19</f>
        <v>41032.50000000001</v>
      </c>
      <c r="Z19" s="47"/>
      <c r="AA19" s="22">
        <f t="shared" si="6"/>
        <v>41032.50000000001</v>
      </c>
      <c r="AB19" s="47"/>
      <c r="AC19" s="22">
        <f t="shared" si="7"/>
        <v>41032.50000000001</v>
      </c>
      <c r="AD19" s="47"/>
      <c r="AE19" s="22">
        <f t="shared" si="8"/>
        <v>41032.50000000001</v>
      </c>
      <c r="AF19" s="22">
        <v>40938.6</v>
      </c>
      <c r="AG19" s="16">
        <f t="shared" si="11"/>
        <v>99.77115700968741</v>
      </c>
    </row>
    <row r="20" spans="1:33" ht="21" customHeight="1">
      <c r="A20" s="9" t="s">
        <v>16</v>
      </c>
      <c r="B20" s="7" t="s">
        <v>7</v>
      </c>
      <c r="C20" s="11" t="s">
        <v>20</v>
      </c>
      <c r="D20" s="11">
        <v>200</v>
      </c>
      <c r="E20" s="1">
        <v>11307.4</v>
      </c>
      <c r="F20" s="1"/>
      <c r="G20" s="31"/>
      <c r="H20" s="22">
        <f t="shared" si="4"/>
        <v>11307.4</v>
      </c>
      <c r="I20" s="22">
        <f>327.9+201.4</f>
        <v>529.3</v>
      </c>
      <c r="J20" s="31">
        <v>50</v>
      </c>
      <c r="K20" s="22">
        <f aca="true" t="shared" si="14" ref="K20:K35">H20+I20+J20</f>
        <v>11886.699999999999</v>
      </c>
      <c r="L20" s="31"/>
      <c r="M20" s="31"/>
      <c r="N20" s="46">
        <f t="shared" si="1"/>
        <v>11886.699999999999</v>
      </c>
      <c r="O20" s="1"/>
      <c r="P20" s="1">
        <f>190.9+74.3</f>
        <v>265.2</v>
      </c>
      <c r="Q20" s="46">
        <f t="shared" si="9"/>
        <v>12151.9</v>
      </c>
      <c r="R20" s="22"/>
      <c r="S20" s="1">
        <f>67.3+19.8</f>
        <v>87.1</v>
      </c>
      <c r="T20" s="37">
        <f t="shared" si="2"/>
        <v>12239</v>
      </c>
      <c r="U20" s="48">
        <f>67+1.3+0.1</f>
        <v>68.39999999999999</v>
      </c>
      <c r="V20" s="1">
        <v>12307.4</v>
      </c>
      <c r="W20" s="1"/>
      <c r="X20" s="1">
        <f>-1046-1.8</f>
        <v>-1047.8</v>
      </c>
      <c r="Y20" s="22">
        <f>V20+X20+W20</f>
        <v>11259.6</v>
      </c>
      <c r="Z20" s="31"/>
      <c r="AA20" s="1">
        <f t="shared" si="6"/>
        <v>11259.6</v>
      </c>
      <c r="AB20" s="31"/>
      <c r="AC20" s="1">
        <f t="shared" si="7"/>
        <v>11259.6</v>
      </c>
      <c r="AD20" s="31"/>
      <c r="AE20" s="1">
        <f t="shared" si="8"/>
        <v>11259.6</v>
      </c>
      <c r="AF20" s="1">
        <v>10279</v>
      </c>
      <c r="AG20" s="16">
        <f t="shared" si="11"/>
        <v>91.29098724643859</v>
      </c>
    </row>
    <row r="21" spans="1:33" ht="21" customHeight="1">
      <c r="A21" s="9"/>
      <c r="B21" s="7" t="s">
        <v>7</v>
      </c>
      <c r="C21" s="11" t="s">
        <v>20</v>
      </c>
      <c r="D21" s="11">
        <v>300</v>
      </c>
      <c r="E21" s="1"/>
      <c r="F21" s="1"/>
      <c r="G21" s="31"/>
      <c r="H21" s="22"/>
      <c r="I21" s="22"/>
      <c r="J21" s="31"/>
      <c r="K21" s="22"/>
      <c r="L21" s="31"/>
      <c r="M21" s="31"/>
      <c r="N21" s="46"/>
      <c r="O21" s="1"/>
      <c r="P21" s="1"/>
      <c r="Q21" s="46"/>
      <c r="R21" s="22"/>
      <c r="S21" s="1">
        <v>67.9</v>
      </c>
      <c r="T21" s="37">
        <f t="shared" si="2"/>
        <v>67.9</v>
      </c>
      <c r="U21" s="48"/>
      <c r="V21" s="1">
        <f>T21+U21</f>
        <v>67.9</v>
      </c>
      <c r="W21" s="1"/>
      <c r="X21" s="1"/>
      <c r="Y21" s="22">
        <f>V21+X21+W21</f>
        <v>67.9</v>
      </c>
      <c r="Z21" s="31"/>
      <c r="AA21" s="1"/>
      <c r="AB21" s="31"/>
      <c r="AC21" s="1"/>
      <c r="AD21" s="31"/>
      <c r="AE21" s="1"/>
      <c r="AF21" s="1">
        <v>67.9</v>
      </c>
      <c r="AG21" s="16">
        <f t="shared" si="11"/>
        <v>100</v>
      </c>
    </row>
    <row r="22" spans="1:33" ht="21.75" customHeight="1">
      <c r="A22" s="9" t="s">
        <v>17</v>
      </c>
      <c r="B22" s="7" t="s">
        <v>7</v>
      </c>
      <c r="C22" s="11" t="s">
        <v>20</v>
      </c>
      <c r="D22" s="11">
        <v>800</v>
      </c>
      <c r="E22" s="1">
        <v>165</v>
      </c>
      <c r="F22" s="1"/>
      <c r="G22" s="1"/>
      <c r="H22" s="22">
        <f t="shared" si="4"/>
        <v>165</v>
      </c>
      <c r="I22" s="22"/>
      <c r="J22" s="1"/>
      <c r="K22" s="22">
        <f t="shared" si="14"/>
        <v>165</v>
      </c>
      <c r="L22" s="1"/>
      <c r="M22" s="1"/>
      <c r="N22" s="46">
        <f t="shared" si="1"/>
        <v>165</v>
      </c>
      <c r="O22" s="1"/>
      <c r="P22" s="1">
        <v>2.4</v>
      </c>
      <c r="Q22" s="46">
        <f t="shared" si="9"/>
        <v>167.4</v>
      </c>
      <c r="R22" s="22"/>
      <c r="S22" s="1"/>
      <c r="T22" s="37">
        <f t="shared" si="2"/>
        <v>167.4</v>
      </c>
      <c r="U22" s="1"/>
      <c r="V22" s="1">
        <f>T22+U22</f>
        <v>167.4</v>
      </c>
      <c r="W22" s="1"/>
      <c r="X22" s="1"/>
      <c r="Y22" s="22">
        <f>V22+X22+W22</f>
        <v>167.4</v>
      </c>
      <c r="Z22" s="1"/>
      <c r="AA22" s="1">
        <f t="shared" si="6"/>
        <v>167.4</v>
      </c>
      <c r="AB22" s="1"/>
      <c r="AC22" s="1">
        <f t="shared" si="7"/>
        <v>167.4</v>
      </c>
      <c r="AD22" s="1"/>
      <c r="AE22" s="1">
        <f t="shared" si="8"/>
        <v>167.4</v>
      </c>
      <c r="AF22" s="1">
        <v>162.5</v>
      </c>
      <c r="AG22" s="16">
        <f t="shared" si="11"/>
        <v>97.07287933094383</v>
      </c>
    </row>
    <row r="23" spans="1:33" ht="17.25" customHeight="1">
      <c r="A23" s="39" t="s">
        <v>14</v>
      </c>
      <c r="B23" s="29" t="s">
        <v>8</v>
      </c>
      <c r="C23" s="40"/>
      <c r="D23" s="33"/>
      <c r="E23" s="49">
        <f>E24+E25+E26+E27</f>
        <v>216015.69999999998</v>
      </c>
      <c r="F23" s="49"/>
      <c r="G23" s="49">
        <f>G24+G25+G26+G27</f>
        <v>767.7</v>
      </c>
      <c r="H23" s="49">
        <f t="shared" si="4"/>
        <v>216783.4</v>
      </c>
      <c r="I23" s="49"/>
      <c r="J23" s="49">
        <f>J24+J25+J26+J27</f>
        <v>1371.1000000000004</v>
      </c>
      <c r="K23" s="51">
        <f>SUM(K24:K27)</f>
        <v>218154.5</v>
      </c>
      <c r="L23" s="49">
        <f>L24+L25+L26+L27</f>
        <v>0</v>
      </c>
      <c r="M23" s="49">
        <f>M24+M25+M26+M27</f>
        <v>1282.8999999999999</v>
      </c>
      <c r="N23" s="51">
        <f t="shared" si="1"/>
        <v>219437.4</v>
      </c>
      <c r="O23" s="49">
        <f>O24+O25+O26+O27</f>
        <v>750</v>
      </c>
      <c r="P23" s="49">
        <f>P24+P25+P26+P27</f>
        <v>3913.6000000000004</v>
      </c>
      <c r="Q23" s="51">
        <f t="shared" si="9"/>
        <v>224101</v>
      </c>
      <c r="R23" s="52">
        <f>SUM(R24:R25)</f>
        <v>35.299999999999955</v>
      </c>
      <c r="S23" s="52">
        <f>SUM(S24:S27)</f>
        <v>985.8000000000001</v>
      </c>
      <c r="T23" s="37">
        <f>SUM(T24:T27)</f>
        <v>225122.1</v>
      </c>
      <c r="U23" s="49">
        <f>U24+U25+U26+U27</f>
        <v>1048.9</v>
      </c>
      <c r="V23" s="49">
        <f>V24+V25+V26+V27</f>
        <v>226116</v>
      </c>
      <c r="W23" s="49">
        <f aca="true" t="shared" si="15" ref="W23:AE23">W24+W25+W26+W27</f>
        <v>3459.8</v>
      </c>
      <c r="X23" s="49">
        <f t="shared" si="15"/>
        <v>-3553.2999999999997</v>
      </c>
      <c r="Y23" s="51">
        <f t="shared" si="15"/>
        <v>226022.49999999997</v>
      </c>
      <c r="Z23" s="51">
        <f t="shared" si="15"/>
        <v>0</v>
      </c>
      <c r="AA23" s="51">
        <f t="shared" si="15"/>
        <v>226022.49999999997</v>
      </c>
      <c r="AB23" s="51">
        <f t="shared" si="15"/>
        <v>0</v>
      </c>
      <c r="AC23" s="51">
        <f t="shared" si="15"/>
        <v>226022.49999999997</v>
      </c>
      <c r="AD23" s="51">
        <f t="shared" si="15"/>
        <v>0</v>
      </c>
      <c r="AE23" s="51">
        <f t="shared" si="15"/>
        <v>226022.49999999997</v>
      </c>
      <c r="AF23" s="46">
        <f>SUM(AF24:AF27)</f>
        <v>224813.30000000002</v>
      </c>
      <c r="AG23" s="16">
        <f t="shared" si="11"/>
        <v>99.46500901458928</v>
      </c>
    </row>
    <row r="24" spans="1:33" ht="53.25" customHeight="1">
      <c r="A24" s="9" t="s">
        <v>15</v>
      </c>
      <c r="B24" s="7" t="s">
        <v>8</v>
      </c>
      <c r="C24" s="11" t="s">
        <v>20</v>
      </c>
      <c r="D24" s="11">
        <v>100</v>
      </c>
      <c r="E24" s="22">
        <f>178942.6+159.9</f>
        <v>179102.5</v>
      </c>
      <c r="F24" s="22"/>
      <c r="G24" s="22"/>
      <c r="H24" s="22">
        <f t="shared" si="4"/>
        <v>179102.5</v>
      </c>
      <c r="I24" s="22"/>
      <c r="J24" s="22">
        <f>-3259.7-1706.1</f>
        <v>-4965.799999999999</v>
      </c>
      <c r="K24" s="22">
        <f t="shared" si="14"/>
        <v>174136.7</v>
      </c>
      <c r="L24" s="22"/>
      <c r="M24" s="22"/>
      <c r="N24" s="51">
        <f t="shared" si="1"/>
        <v>174136.7</v>
      </c>
      <c r="O24" s="22"/>
      <c r="P24" s="22"/>
      <c r="Q24" s="51">
        <f t="shared" si="9"/>
        <v>174136.7</v>
      </c>
      <c r="R24" s="50">
        <f>-594.2+629.5</f>
        <v>35.299999999999955</v>
      </c>
      <c r="S24" s="22"/>
      <c r="T24" s="37">
        <f t="shared" si="2"/>
        <v>174172</v>
      </c>
      <c r="U24" s="22"/>
      <c r="V24" s="22">
        <v>174538.7</v>
      </c>
      <c r="W24" s="22">
        <v>3459.8</v>
      </c>
      <c r="X24" s="22">
        <f>-25.8-140.3+25.9</f>
        <v>-140.20000000000002</v>
      </c>
      <c r="Y24" s="22">
        <f aca="true" t="shared" si="16" ref="Y24:Y35">V24+X24+W24</f>
        <v>177858.3</v>
      </c>
      <c r="Z24" s="22"/>
      <c r="AA24" s="22">
        <f t="shared" si="6"/>
        <v>177858.3</v>
      </c>
      <c r="AB24" s="22"/>
      <c r="AC24" s="22">
        <f t="shared" si="7"/>
        <v>177858.3</v>
      </c>
      <c r="AD24" s="22"/>
      <c r="AE24" s="22">
        <f t="shared" si="8"/>
        <v>177858.3</v>
      </c>
      <c r="AF24" s="22">
        <v>177624.7</v>
      </c>
      <c r="AG24" s="16">
        <f t="shared" si="11"/>
        <v>99.8686594890427</v>
      </c>
    </row>
    <row r="25" spans="1:33" ht="30.75" customHeight="1">
      <c r="A25" s="9" t="s">
        <v>16</v>
      </c>
      <c r="B25" s="7" t="s">
        <v>8</v>
      </c>
      <c r="C25" s="11" t="s">
        <v>20</v>
      </c>
      <c r="D25" s="11">
        <v>200</v>
      </c>
      <c r="E25" s="50">
        <f>1861.4+32502.5</f>
        <v>34363.9</v>
      </c>
      <c r="F25" s="50"/>
      <c r="G25" s="50">
        <v>767.7</v>
      </c>
      <c r="H25" s="50">
        <f t="shared" si="4"/>
        <v>35131.6</v>
      </c>
      <c r="I25" s="50"/>
      <c r="J25" s="50">
        <f>1446.1-75+4965.8</f>
        <v>6336.9</v>
      </c>
      <c r="K25" s="22">
        <f t="shared" si="14"/>
        <v>41468.5</v>
      </c>
      <c r="L25" s="50"/>
      <c r="M25" s="50">
        <f>167.6+1115.3</f>
        <v>1282.8999999999999</v>
      </c>
      <c r="N25" s="51">
        <f t="shared" si="1"/>
        <v>42751.4</v>
      </c>
      <c r="O25" s="50">
        <v>750</v>
      </c>
      <c r="P25" s="50">
        <f>3885.3+75-76.7-2.6</f>
        <v>3881.0000000000005</v>
      </c>
      <c r="Q25" s="51">
        <f t="shared" si="9"/>
        <v>47382.4</v>
      </c>
      <c r="R25" s="50"/>
      <c r="S25" s="50">
        <f>262.7+171.4+468.4+80.4+0.1-1.5-2.4+4.7</f>
        <v>983.8000000000001</v>
      </c>
      <c r="T25" s="37">
        <f t="shared" si="2"/>
        <v>48366.200000000004</v>
      </c>
      <c r="U25" s="50">
        <f>500+450+100.8+100-10-23.6-67-1.3</f>
        <v>1048.9</v>
      </c>
      <c r="V25" s="50">
        <v>48991.4</v>
      </c>
      <c r="W25" s="50"/>
      <c r="X25" s="50">
        <f>-3400.1-2-25</f>
        <v>-3427.1</v>
      </c>
      <c r="Y25" s="22">
        <f t="shared" si="16"/>
        <v>45564.3</v>
      </c>
      <c r="Z25" s="50"/>
      <c r="AA25" s="50">
        <f t="shared" si="6"/>
        <v>45564.3</v>
      </c>
      <c r="AB25" s="50"/>
      <c r="AC25" s="50">
        <f t="shared" si="7"/>
        <v>45564.3</v>
      </c>
      <c r="AD25" s="50"/>
      <c r="AE25" s="50">
        <f t="shared" si="8"/>
        <v>45564.3</v>
      </c>
      <c r="AF25" s="50">
        <v>44610</v>
      </c>
      <c r="AG25" s="16">
        <f t="shared" si="11"/>
        <v>97.90559714513336</v>
      </c>
    </row>
    <row r="26" spans="1:33" ht="30.75" customHeight="1">
      <c r="A26" s="9" t="s">
        <v>18</v>
      </c>
      <c r="B26" s="7" t="s">
        <v>8</v>
      </c>
      <c r="C26" s="11" t="s">
        <v>20</v>
      </c>
      <c r="D26" s="11">
        <v>300</v>
      </c>
      <c r="E26" s="50">
        <v>28</v>
      </c>
      <c r="F26" s="50"/>
      <c r="G26" s="50"/>
      <c r="H26" s="50">
        <f t="shared" si="4"/>
        <v>28</v>
      </c>
      <c r="I26" s="50"/>
      <c r="J26" s="50"/>
      <c r="K26" s="22">
        <f t="shared" si="14"/>
        <v>28</v>
      </c>
      <c r="L26" s="50"/>
      <c r="M26" s="50"/>
      <c r="N26" s="51">
        <f t="shared" si="1"/>
        <v>28</v>
      </c>
      <c r="O26" s="50"/>
      <c r="P26" s="50"/>
      <c r="Q26" s="51">
        <f t="shared" si="9"/>
        <v>28</v>
      </c>
      <c r="R26" s="51"/>
      <c r="S26" s="50"/>
      <c r="T26" s="37">
        <f t="shared" si="2"/>
        <v>28</v>
      </c>
      <c r="U26" s="50"/>
      <c r="V26" s="50">
        <f>T26+U26</f>
        <v>28</v>
      </c>
      <c r="W26" s="50"/>
      <c r="X26" s="50"/>
      <c r="Y26" s="22">
        <f t="shared" si="16"/>
        <v>28</v>
      </c>
      <c r="Z26" s="50"/>
      <c r="AA26" s="50">
        <f t="shared" si="6"/>
        <v>28</v>
      </c>
      <c r="AB26" s="50"/>
      <c r="AC26" s="50">
        <f t="shared" si="7"/>
        <v>28</v>
      </c>
      <c r="AD26" s="50"/>
      <c r="AE26" s="50">
        <f t="shared" si="8"/>
        <v>28</v>
      </c>
      <c r="AF26" s="50">
        <v>16.7</v>
      </c>
      <c r="AG26" s="16">
        <f t="shared" si="11"/>
        <v>59.64285714285714</v>
      </c>
    </row>
    <row r="27" spans="1:33" ht="22.5" customHeight="1">
      <c r="A27" s="9" t="s">
        <v>17</v>
      </c>
      <c r="B27" s="7" t="s">
        <v>8</v>
      </c>
      <c r="C27" s="11" t="s">
        <v>20</v>
      </c>
      <c r="D27" s="24">
        <v>800</v>
      </c>
      <c r="E27" s="50">
        <v>2521.3</v>
      </c>
      <c r="F27" s="50"/>
      <c r="G27" s="50"/>
      <c r="H27" s="50">
        <f t="shared" si="4"/>
        <v>2521.3</v>
      </c>
      <c r="I27" s="50"/>
      <c r="J27" s="50"/>
      <c r="K27" s="22">
        <f t="shared" si="14"/>
        <v>2521.3</v>
      </c>
      <c r="L27" s="50"/>
      <c r="M27" s="50"/>
      <c r="N27" s="51">
        <f t="shared" si="1"/>
        <v>2521.3</v>
      </c>
      <c r="O27" s="50"/>
      <c r="P27" s="50">
        <f>50+2.6-20</f>
        <v>32.6</v>
      </c>
      <c r="Q27" s="51">
        <f t="shared" si="9"/>
        <v>2553.9</v>
      </c>
      <c r="R27" s="51"/>
      <c r="S27" s="50">
        <v>2</v>
      </c>
      <c r="T27" s="37">
        <f t="shared" si="2"/>
        <v>2555.9</v>
      </c>
      <c r="U27" s="50"/>
      <c r="V27" s="50">
        <v>2557.9</v>
      </c>
      <c r="W27" s="50"/>
      <c r="X27" s="50">
        <f>12+2</f>
        <v>14</v>
      </c>
      <c r="Y27" s="22">
        <f t="shared" si="16"/>
        <v>2571.9</v>
      </c>
      <c r="Z27" s="50"/>
      <c r="AA27" s="50">
        <f>Y27+Z27</f>
        <v>2571.9</v>
      </c>
      <c r="AB27" s="50"/>
      <c r="AC27" s="50">
        <f>AA27+AB27</f>
        <v>2571.9</v>
      </c>
      <c r="AD27" s="50"/>
      <c r="AE27" s="50">
        <f>AC27+AD27</f>
        <v>2571.9</v>
      </c>
      <c r="AF27" s="50">
        <v>2561.9</v>
      </c>
      <c r="AG27" s="16">
        <f t="shared" si="11"/>
        <v>99.61118239433881</v>
      </c>
    </row>
    <row r="28" spans="1:33" ht="22.5" customHeight="1">
      <c r="A28" s="41" t="s">
        <v>24</v>
      </c>
      <c r="B28" s="29" t="s">
        <v>25</v>
      </c>
      <c r="C28" s="30"/>
      <c r="D28" s="42"/>
      <c r="E28" s="52">
        <f>SUM(E29:E32)</f>
        <v>21589.399999999998</v>
      </c>
      <c r="F28" s="52"/>
      <c r="G28" s="52">
        <f>SUM(G29:G32)</f>
        <v>352.8</v>
      </c>
      <c r="H28" s="47">
        <f t="shared" si="4"/>
        <v>21942.199999999997</v>
      </c>
      <c r="I28" s="49"/>
      <c r="J28" s="52">
        <f>SUM(J29:J32)</f>
        <v>610.9000000000001</v>
      </c>
      <c r="K28" s="51">
        <f>SUM(K29:K32)</f>
        <v>22553.1</v>
      </c>
      <c r="L28" s="52">
        <f>SUM(L29:L32)</f>
        <v>0</v>
      </c>
      <c r="M28" s="52">
        <f>SUM(M29:M32)</f>
        <v>592.1000000000001</v>
      </c>
      <c r="N28" s="49">
        <f t="shared" si="1"/>
        <v>23145.199999999997</v>
      </c>
      <c r="O28" s="49"/>
      <c r="P28" s="53">
        <f>SUM(P29:P32)</f>
        <v>345.90000000000003</v>
      </c>
      <c r="Q28" s="49">
        <f t="shared" si="9"/>
        <v>23491.1</v>
      </c>
      <c r="R28" s="52">
        <f>SUM(R29:R30)</f>
        <v>0</v>
      </c>
      <c r="S28" s="54">
        <f>SUM(S29:S32)</f>
        <v>268.5</v>
      </c>
      <c r="T28" s="37">
        <f t="shared" si="2"/>
        <v>23759.6</v>
      </c>
      <c r="U28" s="53">
        <f>SUM(U29:U32)</f>
        <v>23.6</v>
      </c>
      <c r="V28" s="49">
        <f aca="true" t="shared" si="17" ref="V28:V35">T28+U28</f>
        <v>23783.199999999997</v>
      </c>
      <c r="W28" s="53">
        <f>SUM(W29:W32)</f>
        <v>0</v>
      </c>
      <c r="X28" s="53">
        <f>SUM(X29:X32)</f>
        <v>-2563.1</v>
      </c>
      <c r="Y28" s="51">
        <f>V28+X28</f>
        <v>21220.1</v>
      </c>
      <c r="Z28" s="51"/>
      <c r="AA28" s="51">
        <f t="shared" si="6"/>
        <v>21220.1</v>
      </c>
      <c r="AB28" s="51">
        <f>SUM(AB29:AB32)</f>
        <v>0</v>
      </c>
      <c r="AC28" s="51">
        <f t="shared" si="7"/>
        <v>21220.1</v>
      </c>
      <c r="AD28" s="51">
        <f>SUM(AD29:AD32)</f>
        <v>0</v>
      </c>
      <c r="AE28" s="51">
        <f t="shared" si="8"/>
        <v>21220.1</v>
      </c>
      <c r="AF28" s="68">
        <f>SUM(AF29:AF32)</f>
        <v>20646.5</v>
      </c>
      <c r="AG28" s="16">
        <f t="shared" si="11"/>
        <v>97.29690246511564</v>
      </c>
    </row>
    <row r="29" spans="1:33" ht="51" customHeight="1">
      <c r="A29" s="9" t="s">
        <v>15</v>
      </c>
      <c r="B29" s="7" t="s">
        <v>25</v>
      </c>
      <c r="C29" s="11" t="s">
        <v>20</v>
      </c>
      <c r="D29" s="24">
        <v>100</v>
      </c>
      <c r="E29" s="55">
        <v>14484.5</v>
      </c>
      <c r="F29" s="55"/>
      <c r="G29" s="55"/>
      <c r="H29" s="50">
        <f t="shared" si="4"/>
        <v>14484.5</v>
      </c>
      <c r="I29" s="50"/>
      <c r="J29" s="55"/>
      <c r="K29" s="22">
        <f t="shared" si="14"/>
        <v>14484.5</v>
      </c>
      <c r="L29" s="56"/>
      <c r="M29" s="56">
        <f>316.6+216.1+6.2+25+25+3.2</f>
        <v>592.1000000000001</v>
      </c>
      <c r="N29" s="49">
        <f t="shared" si="1"/>
        <v>15076.6</v>
      </c>
      <c r="O29" s="50"/>
      <c r="P29" s="56"/>
      <c r="Q29" s="49">
        <f t="shared" si="9"/>
        <v>15076.6</v>
      </c>
      <c r="R29" s="49"/>
      <c r="S29" s="55"/>
      <c r="T29" s="37">
        <f t="shared" si="2"/>
        <v>15076.6</v>
      </c>
      <c r="U29" s="56"/>
      <c r="V29" s="50">
        <f t="shared" si="17"/>
        <v>15076.6</v>
      </c>
      <c r="W29" s="50"/>
      <c r="X29" s="56">
        <f>89.1-694.1-240.2</f>
        <v>-845.2</v>
      </c>
      <c r="Y29" s="22">
        <f t="shared" si="16"/>
        <v>14231.4</v>
      </c>
      <c r="Z29" s="50"/>
      <c r="AA29" s="50">
        <f t="shared" si="6"/>
        <v>14231.4</v>
      </c>
      <c r="AB29" s="50"/>
      <c r="AC29" s="50">
        <f t="shared" si="7"/>
        <v>14231.4</v>
      </c>
      <c r="AD29" s="50"/>
      <c r="AE29" s="50">
        <f t="shared" si="8"/>
        <v>14231.4</v>
      </c>
      <c r="AF29" s="55">
        <v>14085.5</v>
      </c>
      <c r="AG29" s="16">
        <f t="shared" si="11"/>
        <v>98.97480219795663</v>
      </c>
    </row>
    <row r="30" spans="1:33" ht="35.25" customHeight="1">
      <c r="A30" s="9" t="s">
        <v>16</v>
      </c>
      <c r="B30" s="7" t="s">
        <v>25</v>
      </c>
      <c r="C30" s="11" t="s">
        <v>20</v>
      </c>
      <c r="D30" s="24">
        <v>200</v>
      </c>
      <c r="E30" s="55">
        <v>3131.3</v>
      </c>
      <c r="F30" s="55"/>
      <c r="G30" s="55">
        <v>352.8</v>
      </c>
      <c r="H30" s="50">
        <f t="shared" si="4"/>
        <v>3484.1000000000004</v>
      </c>
      <c r="I30" s="50"/>
      <c r="J30" s="55">
        <f>90.4+445.2+189.1-113.8</f>
        <v>610.9000000000001</v>
      </c>
      <c r="K30" s="22">
        <f t="shared" si="14"/>
        <v>4095.0000000000005</v>
      </c>
      <c r="L30" s="56"/>
      <c r="M30" s="56"/>
      <c r="N30" s="49">
        <f t="shared" si="1"/>
        <v>4095.0000000000005</v>
      </c>
      <c r="O30" s="50"/>
      <c r="P30" s="56">
        <f>37.6+89+200+18.8+0.5</f>
        <v>345.90000000000003</v>
      </c>
      <c r="Q30" s="49">
        <f t="shared" si="9"/>
        <v>4440.900000000001</v>
      </c>
      <c r="R30" s="49"/>
      <c r="S30" s="55">
        <f>131.7+136.9-0.1</f>
        <v>268.5</v>
      </c>
      <c r="T30" s="37">
        <f t="shared" si="2"/>
        <v>4709.400000000001</v>
      </c>
      <c r="U30" s="56">
        <v>23.6</v>
      </c>
      <c r="V30" s="50">
        <f t="shared" si="17"/>
        <v>4733.000000000001</v>
      </c>
      <c r="W30" s="50"/>
      <c r="X30" s="56">
        <f>10.9-192.3-460.5+1.1-37.3</f>
        <v>-678.0999999999999</v>
      </c>
      <c r="Y30" s="22">
        <f t="shared" si="16"/>
        <v>4054.900000000001</v>
      </c>
      <c r="Z30" s="50"/>
      <c r="AA30" s="50">
        <f t="shared" si="6"/>
        <v>4054.900000000001</v>
      </c>
      <c r="AB30" s="50"/>
      <c r="AC30" s="50">
        <f t="shared" si="7"/>
        <v>4054.900000000001</v>
      </c>
      <c r="AD30" s="50"/>
      <c r="AE30" s="50">
        <f t="shared" si="8"/>
        <v>4054.900000000001</v>
      </c>
      <c r="AF30" s="55">
        <v>3644</v>
      </c>
      <c r="AG30" s="16">
        <f t="shared" si="11"/>
        <v>89.86658117339513</v>
      </c>
    </row>
    <row r="31" spans="1:33" ht="35.25" customHeight="1">
      <c r="A31" s="66" t="s">
        <v>36</v>
      </c>
      <c r="B31" s="7" t="s">
        <v>25</v>
      </c>
      <c r="C31" s="11">
        <v>510</v>
      </c>
      <c r="D31" s="24">
        <v>600</v>
      </c>
      <c r="E31" s="55">
        <v>2392.6</v>
      </c>
      <c r="F31" s="55"/>
      <c r="G31" s="55"/>
      <c r="H31" s="50">
        <f t="shared" si="4"/>
        <v>2392.6</v>
      </c>
      <c r="I31" s="50"/>
      <c r="J31" s="55"/>
      <c r="K31" s="22">
        <f t="shared" si="14"/>
        <v>2392.6</v>
      </c>
      <c r="L31" s="56"/>
      <c r="M31" s="56"/>
      <c r="N31" s="49">
        <f t="shared" si="1"/>
        <v>2392.6</v>
      </c>
      <c r="O31" s="50"/>
      <c r="P31" s="56"/>
      <c r="Q31" s="49">
        <f t="shared" si="9"/>
        <v>2392.6</v>
      </c>
      <c r="R31" s="49"/>
      <c r="S31" s="55"/>
      <c r="T31" s="37">
        <f t="shared" si="2"/>
        <v>2392.6</v>
      </c>
      <c r="U31" s="56"/>
      <c r="V31" s="50">
        <f t="shared" si="17"/>
        <v>2392.6</v>
      </c>
      <c r="W31" s="50"/>
      <c r="X31" s="56">
        <f>-1018.8-23</f>
        <v>-1041.8</v>
      </c>
      <c r="Y31" s="22">
        <f t="shared" si="16"/>
        <v>1350.8</v>
      </c>
      <c r="Z31" s="50"/>
      <c r="AA31" s="50"/>
      <c r="AB31" s="50"/>
      <c r="AC31" s="50"/>
      <c r="AD31" s="50"/>
      <c r="AE31" s="50"/>
      <c r="AF31" s="55">
        <v>1350.8</v>
      </c>
      <c r="AG31" s="16">
        <f t="shared" si="11"/>
        <v>100</v>
      </c>
    </row>
    <row r="32" spans="1:33" ht="24" customHeight="1">
      <c r="A32" s="9" t="s">
        <v>17</v>
      </c>
      <c r="B32" s="7" t="s">
        <v>25</v>
      </c>
      <c r="C32" s="11" t="s">
        <v>20</v>
      </c>
      <c r="D32" s="24">
        <v>800</v>
      </c>
      <c r="E32" s="57">
        <v>1581</v>
      </c>
      <c r="F32" s="57"/>
      <c r="G32" s="55"/>
      <c r="H32" s="50">
        <f t="shared" si="4"/>
        <v>1581</v>
      </c>
      <c r="I32" s="50"/>
      <c r="J32" s="55"/>
      <c r="K32" s="22">
        <f t="shared" si="14"/>
        <v>1581</v>
      </c>
      <c r="L32" s="56"/>
      <c r="M32" s="56"/>
      <c r="N32" s="49">
        <f t="shared" si="1"/>
        <v>1581</v>
      </c>
      <c r="O32" s="50"/>
      <c r="P32" s="56"/>
      <c r="Q32" s="49">
        <f t="shared" si="9"/>
        <v>1581</v>
      </c>
      <c r="R32" s="49"/>
      <c r="S32" s="55"/>
      <c r="T32" s="37">
        <f t="shared" si="2"/>
        <v>1581</v>
      </c>
      <c r="U32" s="56"/>
      <c r="V32" s="50">
        <f t="shared" si="17"/>
        <v>1581</v>
      </c>
      <c r="W32" s="50"/>
      <c r="X32" s="56">
        <v>2</v>
      </c>
      <c r="Y32" s="22">
        <f t="shared" si="16"/>
        <v>1583</v>
      </c>
      <c r="Z32" s="50"/>
      <c r="AA32" s="50">
        <f t="shared" si="6"/>
        <v>1583</v>
      </c>
      <c r="AB32" s="50"/>
      <c r="AC32" s="50">
        <f t="shared" si="7"/>
        <v>1583</v>
      </c>
      <c r="AD32" s="50"/>
      <c r="AE32" s="50">
        <f t="shared" si="8"/>
        <v>1583</v>
      </c>
      <c r="AF32" s="57">
        <v>1566.2</v>
      </c>
      <c r="AG32" s="16">
        <f t="shared" si="11"/>
        <v>98.9387239418825</v>
      </c>
    </row>
    <row r="33" spans="1:33" ht="24.75" customHeight="1">
      <c r="A33" s="43" t="s">
        <v>22</v>
      </c>
      <c r="B33" s="29" t="s">
        <v>23</v>
      </c>
      <c r="C33" s="44"/>
      <c r="D33" s="44"/>
      <c r="E33" s="58">
        <f>E34+E35</f>
        <v>3027.8</v>
      </c>
      <c r="F33" s="58"/>
      <c r="G33" s="58">
        <f>G34+G35</f>
        <v>227.8</v>
      </c>
      <c r="H33" s="49">
        <f t="shared" si="4"/>
        <v>3255.6000000000004</v>
      </c>
      <c r="I33" s="49"/>
      <c r="J33" s="58">
        <f>J34+J35</f>
        <v>0</v>
      </c>
      <c r="K33" s="51">
        <f>K34+K35</f>
        <v>3255.6000000000004</v>
      </c>
      <c r="L33" s="59">
        <f>L34+L35</f>
        <v>0</v>
      </c>
      <c r="M33" s="59">
        <f>M34+M35</f>
        <v>-324.5</v>
      </c>
      <c r="N33" s="49">
        <f t="shared" si="1"/>
        <v>2931.1000000000004</v>
      </c>
      <c r="O33" s="60"/>
      <c r="P33" s="60"/>
      <c r="Q33" s="49">
        <f>N33+P33</f>
        <v>2931.1000000000004</v>
      </c>
      <c r="R33" s="52">
        <f>SUM(R34:R35)</f>
        <v>63.5</v>
      </c>
      <c r="S33" s="52">
        <f>SUM(S34:S35)</f>
        <v>267.5</v>
      </c>
      <c r="T33" s="37">
        <f t="shared" si="2"/>
        <v>3262.1000000000004</v>
      </c>
      <c r="U33" s="61">
        <f>U34</f>
        <v>0</v>
      </c>
      <c r="V33" s="49">
        <f t="shared" si="17"/>
        <v>3262.1000000000004</v>
      </c>
      <c r="W33" s="62">
        <f>W34+W35</f>
        <v>-302.9</v>
      </c>
      <c r="X33" s="62">
        <f>X34+X35</f>
        <v>-97.8</v>
      </c>
      <c r="Y33" s="46">
        <f t="shared" si="16"/>
        <v>2861.4</v>
      </c>
      <c r="Z33" s="69"/>
      <c r="AA33" s="51">
        <f t="shared" si="6"/>
        <v>2861.4</v>
      </c>
      <c r="AB33" s="51">
        <f>AB34+AB35</f>
        <v>0</v>
      </c>
      <c r="AC33" s="51">
        <f t="shared" si="7"/>
        <v>2861.4</v>
      </c>
      <c r="AD33" s="51">
        <f>AD34+AD35</f>
        <v>0</v>
      </c>
      <c r="AE33" s="51">
        <f t="shared" si="8"/>
        <v>2861.4</v>
      </c>
      <c r="AF33" s="70">
        <f>AF34+AF35</f>
        <v>2853.1</v>
      </c>
      <c r="AG33" s="16">
        <f t="shared" si="11"/>
        <v>99.70993220102046</v>
      </c>
    </row>
    <row r="34" spans="1:33" ht="32.25" customHeight="1">
      <c r="A34" s="13" t="s">
        <v>16</v>
      </c>
      <c r="B34" s="7" t="s">
        <v>23</v>
      </c>
      <c r="C34" s="11" t="s">
        <v>20</v>
      </c>
      <c r="D34" s="11">
        <v>200</v>
      </c>
      <c r="E34" s="63">
        <f>2316.3+211.5</f>
        <v>2527.8</v>
      </c>
      <c r="F34" s="63"/>
      <c r="G34" s="64">
        <v>227.8</v>
      </c>
      <c r="H34" s="50">
        <f t="shared" si="4"/>
        <v>2755.6000000000004</v>
      </c>
      <c r="I34" s="50"/>
      <c r="J34" s="64"/>
      <c r="K34" s="22">
        <f t="shared" si="14"/>
        <v>2755.6000000000004</v>
      </c>
      <c r="L34" s="65"/>
      <c r="M34" s="67"/>
      <c r="N34" s="49">
        <f t="shared" si="1"/>
        <v>2755.6000000000004</v>
      </c>
      <c r="O34" s="65"/>
      <c r="P34" s="65"/>
      <c r="Q34" s="49">
        <f>N34+P34+O34</f>
        <v>2755.6000000000004</v>
      </c>
      <c r="R34" s="50">
        <v>63.5</v>
      </c>
      <c r="S34" s="64">
        <v>267.5</v>
      </c>
      <c r="T34" s="37">
        <f t="shared" si="2"/>
        <v>3086.6000000000004</v>
      </c>
      <c r="U34" s="63"/>
      <c r="V34" s="50">
        <f t="shared" si="17"/>
        <v>3086.6000000000004</v>
      </c>
      <c r="W34" s="50">
        <v>-302.9</v>
      </c>
      <c r="X34" s="63">
        <v>-60.9</v>
      </c>
      <c r="Y34" s="22">
        <f t="shared" si="16"/>
        <v>2722.8</v>
      </c>
      <c r="Z34" s="65"/>
      <c r="AA34" s="50">
        <f t="shared" si="6"/>
        <v>2722.8</v>
      </c>
      <c r="AB34" s="50"/>
      <c r="AC34" s="50">
        <f t="shared" si="7"/>
        <v>2722.8</v>
      </c>
      <c r="AD34" s="50"/>
      <c r="AE34" s="50">
        <f t="shared" si="8"/>
        <v>2722.8</v>
      </c>
      <c r="AF34" s="63">
        <v>2714.5</v>
      </c>
      <c r="AG34" s="16">
        <f t="shared" si="11"/>
        <v>99.69516674012046</v>
      </c>
    </row>
    <row r="35" spans="1:33" ht="41.25" customHeight="1">
      <c r="A35" s="23" t="s">
        <v>21</v>
      </c>
      <c r="B35" s="7" t="s">
        <v>23</v>
      </c>
      <c r="C35" s="11" t="s">
        <v>20</v>
      </c>
      <c r="D35" s="11">
        <v>600</v>
      </c>
      <c r="E35" s="63">
        <v>500</v>
      </c>
      <c r="F35" s="63"/>
      <c r="G35" s="64"/>
      <c r="H35" s="50">
        <f t="shared" si="4"/>
        <v>500</v>
      </c>
      <c r="I35" s="50"/>
      <c r="J35" s="64"/>
      <c r="K35" s="22">
        <f t="shared" si="14"/>
        <v>500</v>
      </c>
      <c r="L35" s="63"/>
      <c r="M35" s="63">
        <v>-324.5</v>
      </c>
      <c r="N35" s="49">
        <f t="shared" si="1"/>
        <v>175.5</v>
      </c>
      <c r="O35" s="65"/>
      <c r="P35" s="65"/>
      <c r="Q35" s="49">
        <f>N35+P35+O35</f>
        <v>175.5</v>
      </c>
      <c r="R35" s="49"/>
      <c r="S35" s="64"/>
      <c r="T35" s="37">
        <f t="shared" si="2"/>
        <v>175.5</v>
      </c>
      <c r="U35" s="65"/>
      <c r="V35" s="50">
        <f t="shared" si="17"/>
        <v>175.5</v>
      </c>
      <c r="W35" s="50"/>
      <c r="X35" s="63">
        <v>-36.9</v>
      </c>
      <c r="Y35" s="22">
        <f t="shared" si="16"/>
        <v>138.6</v>
      </c>
      <c r="Z35" s="65"/>
      <c r="AA35" s="50">
        <f t="shared" si="6"/>
        <v>138.6</v>
      </c>
      <c r="AB35" s="50"/>
      <c r="AC35" s="50">
        <f t="shared" si="7"/>
        <v>138.6</v>
      </c>
      <c r="AD35" s="50"/>
      <c r="AE35" s="50">
        <f t="shared" si="8"/>
        <v>138.6</v>
      </c>
      <c r="AF35" s="63">
        <v>138.6</v>
      </c>
      <c r="AG35" s="16">
        <f t="shared" si="11"/>
        <v>100</v>
      </c>
    </row>
  </sheetData>
  <sheetProtection/>
  <mergeCells count="11">
    <mergeCell ref="B8:B9"/>
    <mergeCell ref="C8:C9"/>
    <mergeCell ref="D8:D9"/>
    <mergeCell ref="E8:AG8"/>
    <mergeCell ref="A8:A9"/>
    <mergeCell ref="C1:AG1"/>
    <mergeCell ref="C2:AG2"/>
    <mergeCell ref="C3:AG3"/>
    <mergeCell ref="C4:AG4"/>
    <mergeCell ref="A6:AG6"/>
    <mergeCell ref="H5:AG5"/>
  </mergeCells>
  <printOptions/>
  <pageMargins left="0.36" right="0.1968503937007874" top="0.31496062992125984" bottom="0.1968503937007874" header="0.31496062992125984" footer="0.196850393700787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Хмара Ирина Александровна</cp:lastModifiedBy>
  <cp:lastPrinted>2021-11-23T05:31:49Z</cp:lastPrinted>
  <dcterms:created xsi:type="dcterms:W3CDTF">2010-11-12T09:56:09Z</dcterms:created>
  <dcterms:modified xsi:type="dcterms:W3CDTF">2022-03-31T06:19:17Z</dcterms:modified>
  <cp:category/>
  <cp:version/>
  <cp:contentType/>
  <cp:contentStatus/>
</cp:coreProperties>
</file>