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840" windowWidth="19200" windowHeight="10155" activeTab="2"/>
  </bookViews>
  <sheets>
    <sheet name="СВОД" sheetId="6" r:id="rId1"/>
    <sheet name="Администрация" sheetId="1" r:id="rId2"/>
    <sheet name="Отдел по образованию" sheetId="2" r:id="rId3"/>
    <sheet name="Финансовый отдел" sheetId="3" r:id="rId4"/>
    <sheet name="Дума" sheetId="4" r:id="rId5"/>
    <sheet name="КСП" sheetId="5" r:id="rId6"/>
    <sheet name="Муниципальные программы" sheetId="7" r:id="rId7"/>
    <sheet name="Обьяснение роста" sheetId="8" r:id="rId8"/>
  </sheets>
  <definedNames>
    <definedName name="_xlnm.Print_Area" localSheetId="1">Администрация!$A$1:$AK$24</definedName>
    <definedName name="_xlnm.Print_Area" localSheetId="7">'Обьяснение роста'!$A$1:$X$17</definedName>
    <definedName name="_xlnm.Print_Area" localSheetId="2">'Отдел по образованию'!$A$1:$AG$20</definedName>
    <definedName name="_xlnm.Print_Area" localSheetId="0">СВОД!$A$1:$AE$33</definedName>
    <definedName name="_xlnm.Print_Area" localSheetId="3">'Финансовый отдел'!$A$1:$AE$15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4" i="2"/>
  <c r="AB16"/>
  <c r="AB16" i="1"/>
  <c r="AB22"/>
  <c r="AB23"/>
  <c r="O24" i="6" l="1"/>
  <c r="AB8" i="1" l="1"/>
  <c r="AB7" i="3"/>
  <c r="AB18" i="1"/>
  <c r="AB9" i="2" l="1"/>
  <c r="AB8"/>
  <c r="AB20" i="1" l="1"/>
  <c r="AB7" i="2" l="1"/>
  <c r="S8" i="3" l="1"/>
  <c r="P23" i="7"/>
  <c r="T8" i="1" l="1"/>
  <c r="AB15" i="2" l="1"/>
  <c r="AA8" i="1" l="1"/>
  <c r="AA24"/>
  <c r="AB15"/>
  <c r="N35" i="7"/>
  <c r="M35" s="1"/>
  <c r="R38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6"/>
  <c r="N37"/>
  <c r="N38"/>
  <c r="AB19" i="1"/>
  <c r="AB21"/>
  <c r="AB6" l="1"/>
  <c r="AB8" i="3"/>
  <c r="AA13" i="2" l="1"/>
  <c r="AE13" s="1"/>
  <c r="T10" i="1" l="1"/>
  <c r="T18"/>
  <c r="AA9" i="2"/>
  <c r="AE10" i="3"/>
  <c r="Q6" i="7"/>
  <c r="AA9" i="3" l="1"/>
  <c r="AE9" s="1"/>
  <c r="T9" i="2" l="1"/>
  <c r="AB6" i="5" l="1"/>
  <c r="T20" i="2" l="1"/>
  <c r="T12"/>
  <c r="T14"/>
  <c r="T8"/>
  <c r="T7"/>
  <c r="T19" i="1"/>
  <c r="T23"/>
  <c r="T16"/>
  <c r="T15"/>
  <c r="T13"/>
  <c r="T8" i="5"/>
  <c r="T8" i="3"/>
  <c r="T6" i="4"/>
  <c r="AB12" i="6" l="1"/>
  <c r="AB10"/>
  <c r="Y38" i="7"/>
  <c r="X38" s="1"/>
  <c r="Y37"/>
  <c r="X37" s="1"/>
  <c r="Y36"/>
  <c r="X36" s="1"/>
  <c r="Y34"/>
  <c r="X34" s="1"/>
  <c r="Y33"/>
  <c r="X33" s="1"/>
  <c r="Y32"/>
  <c r="X32" s="1"/>
  <c r="Y31"/>
  <c r="X31" s="1"/>
  <c r="Y30"/>
  <c r="X30" s="1"/>
  <c r="Y29"/>
  <c r="X29" s="1"/>
  <c r="Y28"/>
  <c r="X28" s="1"/>
  <c r="Y27"/>
  <c r="X27" s="1"/>
  <c r="Y26"/>
  <c r="X26" s="1"/>
  <c r="Y25"/>
  <c r="X25" s="1"/>
  <c r="Y24"/>
  <c r="X24" s="1"/>
  <c r="Y23"/>
  <c r="X23" s="1"/>
  <c r="Y22"/>
  <c r="X22" s="1"/>
  <c r="Y21"/>
  <c r="X21" s="1"/>
  <c r="Y20"/>
  <c r="X20" s="1"/>
  <c r="Y19"/>
  <c r="X19" s="1"/>
  <c r="Y18"/>
  <c r="X18" s="1"/>
  <c r="Y17"/>
  <c r="X17" s="1"/>
  <c r="Y16"/>
  <c r="X16" s="1"/>
  <c r="Y15"/>
  <c r="X15" s="1"/>
  <c r="Y14"/>
  <c r="X14" s="1"/>
  <c r="Y13"/>
  <c r="X13" s="1"/>
  <c r="Y12"/>
  <c r="X12" s="1"/>
  <c r="Y11"/>
  <c r="X11" s="1"/>
  <c r="Y10"/>
  <c r="X10" s="1"/>
  <c r="Y9"/>
  <c r="X9" s="1"/>
  <c r="Y8"/>
  <c r="X8" s="1"/>
  <c r="Y7"/>
  <c r="X7" s="1"/>
  <c r="AB6"/>
  <c r="AA6"/>
  <c r="Z6"/>
  <c r="W6"/>
  <c r="V6"/>
  <c r="U6"/>
  <c r="T13"/>
  <c r="S13" s="1"/>
  <c r="T12"/>
  <c r="S12" s="1"/>
  <c r="T11"/>
  <c r="S11" s="1"/>
  <c r="T10"/>
  <c r="S10" s="1"/>
  <c r="T9"/>
  <c r="S9" s="1"/>
  <c r="T8"/>
  <c r="S8" s="1"/>
  <c r="T7"/>
  <c r="T38"/>
  <c r="S38" s="1"/>
  <c r="S37"/>
  <c r="T36"/>
  <c r="S36" s="1"/>
  <c r="T34"/>
  <c r="S34" s="1"/>
  <c r="T33"/>
  <c r="S33" s="1"/>
  <c r="T32"/>
  <c r="S32" s="1"/>
  <c r="T31"/>
  <c r="S31" s="1"/>
  <c r="T30"/>
  <c r="S30" s="1"/>
  <c r="T29"/>
  <c r="S29" s="1"/>
  <c r="T28"/>
  <c r="S28" s="1"/>
  <c r="T27"/>
  <c r="S27" s="1"/>
  <c r="T26"/>
  <c r="S26" s="1"/>
  <c r="T25"/>
  <c r="S25" s="1"/>
  <c r="T24"/>
  <c r="S24" s="1"/>
  <c r="T23"/>
  <c r="S23" s="1"/>
  <c r="S22"/>
  <c r="T21"/>
  <c r="S21" s="1"/>
  <c r="T20"/>
  <c r="S20" s="1"/>
  <c r="T19"/>
  <c r="S19" s="1"/>
  <c r="T15"/>
  <c r="S15" s="1"/>
  <c r="T14"/>
  <c r="S14" s="1"/>
  <c r="T18"/>
  <c r="S18" s="1"/>
  <c r="AB6" i="3" l="1"/>
  <c r="T6" i="7"/>
  <c r="X6"/>
  <c r="S7"/>
  <c r="Y6"/>
  <c r="M38" l="1"/>
  <c r="M36"/>
  <c r="M34"/>
  <c r="M33"/>
  <c r="M32"/>
  <c r="M31"/>
  <c r="M28"/>
  <c r="M27"/>
  <c r="M25"/>
  <c r="M23"/>
  <c r="M21"/>
  <c r="M19"/>
  <c r="M17"/>
  <c r="M16"/>
  <c r="M15"/>
  <c r="M14"/>
  <c r="M13"/>
  <c r="M12"/>
  <c r="M10"/>
  <c r="M9"/>
  <c r="M8"/>
  <c r="M11"/>
  <c r="M37"/>
  <c r="M26"/>
  <c r="AA19" i="1" l="1"/>
  <c r="M22" i="7" l="1"/>
  <c r="R6"/>
  <c r="P6"/>
  <c r="O6"/>
  <c r="M30" l="1"/>
  <c r="M29"/>
  <c r="M24"/>
  <c r="M20"/>
  <c r="M18"/>
  <c r="M7"/>
  <c r="T6" i="2"/>
  <c r="N6" i="7" l="1"/>
  <c r="O26" i="6" s="1"/>
  <c r="T6" i="1"/>
  <c r="T6" i="3" l="1"/>
  <c r="T6" i="5"/>
  <c r="S6" i="4"/>
  <c r="X7" i="6" l="1"/>
  <c r="X6" i="2"/>
  <c r="X11" i="6" s="1"/>
  <c r="S18" i="2"/>
  <c r="S10"/>
  <c r="X6" i="3"/>
  <c r="X12" i="6" l="1"/>
  <c r="X6" s="1"/>
  <c r="AD6" i="4" l="1"/>
  <c r="AC6"/>
  <c r="AB6"/>
  <c r="AA8"/>
  <c r="AD6" i="2"/>
  <c r="AC6"/>
  <c r="AB6"/>
  <c r="AC10" i="6" l="1"/>
  <c r="AA12"/>
  <c r="AD8"/>
  <c r="AC8"/>
  <c r="AB8"/>
  <c r="AA8" l="1"/>
  <c r="N8" i="5"/>
  <c r="N7"/>
  <c r="AA8"/>
  <c r="AA7"/>
  <c r="AD6"/>
  <c r="AD9" i="6" s="1"/>
  <c r="AC6" i="5"/>
  <c r="AC9" i="6" s="1"/>
  <c r="AB9"/>
  <c r="N7" i="4"/>
  <c r="N6" s="1"/>
  <c r="AA7"/>
  <c r="AA6" s="1"/>
  <c r="N7" i="3"/>
  <c r="N8"/>
  <c r="AA8"/>
  <c r="AE8" s="1"/>
  <c r="AA7"/>
  <c r="AE7" s="1"/>
  <c r="AD6"/>
  <c r="AD10" i="6" s="1"/>
  <c r="AC6" i="3"/>
  <c r="AE24" i="1"/>
  <c r="N8" i="2"/>
  <c r="N9"/>
  <c r="N10"/>
  <c r="N11"/>
  <c r="N12"/>
  <c r="N14"/>
  <c r="N15"/>
  <c r="N16"/>
  <c r="N17"/>
  <c r="N18"/>
  <c r="N19"/>
  <c r="N20"/>
  <c r="N7"/>
  <c r="AA20"/>
  <c r="AA19"/>
  <c r="AA18"/>
  <c r="AA17"/>
  <c r="AA16"/>
  <c r="AA15"/>
  <c r="AA14"/>
  <c r="AA12"/>
  <c r="AA11"/>
  <c r="AA10"/>
  <c r="AA8"/>
  <c r="AA7"/>
  <c r="AD11" i="6"/>
  <c r="AC11"/>
  <c r="AB11"/>
  <c r="N7" i="1"/>
  <c r="N8"/>
  <c r="N9"/>
  <c r="N10"/>
  <c r="N11"/>
  <c r="N12"/>
  <c r="N13"/>
  <c r="N14"/>
  <c r="N15"/>
  <c r="N16"/>
  <c r="N17"/>
  <c r="N18"/>
  <c r="N19"/>
  <c r="N20"/>
  <c r="N21"/>
  <c r="N22"/>
  <c r="N23"/>
  <c r="S14"/>
  <c r="S12"/>
  <c r="S11"/>
  <c r="S9"/>
  <c r="AA23"/>
  <c r="AA22"/>
  <c r="AA21"/>
  <c r="AA20"/>
  <c r="AA18"/>
  <c r="AA17"/>
  <c r="AA16"/>
  <c r="AA15"/>
  <c r="AA14"/>
  <c r="AE14" s="1"/>
  <c r="AA13"/>
  <c r="AA12"/>
  <c r="AA11"/>
  <c r="AA10"/>
  <c r="AA9"/>
  <c r="AA7"/>
  <c r="AD6"/>
  <c r="AC6"/>
  <c r="AA6" l="1"/>
  <c r="AA6" i="3"/>
  <c r="N6"/>
  <c r="AE8" i="1"/>
  <c r="AE10"/>
  <c r="AE12"/>
  <c r="AE22"/>
  <c r="AE7"/>
  <c r="AE20"/>
  <c r="AE18"/>
  <c r="AE17"/>
  <c r="AC7" i="6"/>
  <c r="AC6"/>
  <c r="AE9" i="1"/>
  <c r="AE11"/>
  <c r="AE13"/>
  <c r="AE15"/>
  <c r="AE21"/>
  <c r="AE23"/>
  <c r="AA11" i="6"/>
  <c r="AA9"/>
  <c r="AD6"/>
  <c r="AD7"/>
  <c r="AA6" i="2"/>
  <c r="N6" i="5"/>
  <c r="AA6"/>
  <c r="AA10" i="6"/>
  <c r="N6" i="2"/>
  <c r="N6" i="1"/>
  <c r="AB7" i="6"/>
  <c r="AA7" l="1"/>
  <c r="AA6" s="1"/>
  <c r="O25" s="1"/>
  <c r="AB6"/>
  <c r="O27" l="1"/>
  <c r="O28" s="1"/>
  <c r="U6" i="2"/>
  <c r="AE20"/>
  <c r="S6" i="7" l="1"/>
  <c r="M6"/>
  <c r="AE16" i="1" l="1"/>
  <c r="AE19"/>
  <c r="F20" i="2" l="1"/>
  <c r="Y20"/>
  <c r="M6"/>
  <c r="K16"/>
  <c r="Q6"/>
  <c r="K11"/>
  <c r="O6"/>
  <c r="P6"/>
  <c r="K6" l="1"/>
  <c r="J17"/>
  <c r="J18"/>
  <c r="J19"/>
  <c r="L14"/>
  <c r="L11"/>
  <c r="L6" l="1"/>
  <c r="J16"/>
  <c r="J15"/>
  <c r="J14"/>
  <c r="J12"/>
  <c r="J11"/>
  <c r="J10"/>
  <c r="J9"/>
  <c r="J8"/>
  <c r="J7"/>
  <c r="K8" i="3"/>
  <c r="J6" i="2" l="1"/>
  <c r="J8" i="3" l="1"/>
  <c r="J7"/>
  <c r="M6"/>
  <c r="L6"/>
  <c r="K6"/>
  <c r="J8" i="5"/>
  <c r="J7"/>
  <c r="M6"/>
  <c r="L6"/>
  <c r="K6"/>
  <c r="J6" l="1"/>
  <c r="J6" i="3"/>
  <c r="J7" i="4" l="1"/>
  <c r="M6"/>
  <c r="L6"/>
  <c r="K6"/>
  <c r="J6"/>
  <c r="M6" i="1" l="1"/>
  <c r="L23"/>
  <c r="K11"/>
  <c r="K19"/>
  <c r="L11"/>
  <c r="K6" l="1"/>
  <c r="L6"/>
  <c r="J23"/>
  <c r="J22"/>
  <c r="J21"/>
  <c r="J20"/>
  <c r="J19"/>
  <c r="J18"/>
  <c r="J17"/>
  <c r="J16"/>
  <c r="J15"/>
  <c r="J14"/>
  <c r="J13"/>
  <c r="J12"/>
  <c r="J11"/>
  <c r="J10"/>
  <c r="J9"/>
  <c r="J8"/>
  <c r="J7"/>
  <c r="J6" l="1"/>
  <c r="AE17" i="2"/>
  <c r="Q6" i="3" l="1"/>
  <c r="H9" i="2" l="1"/>
  <c r="H10"/>
  <c r="F23" i="1" l="1"/>
  <c r="Z17" i="2" l="1"/>
  <c r="Y17"/>
  <c r="R17" l="1"/>
  <c r="F19" l="1"/>
  <c r="F18"/>
  <c r="F16"/>
  <c r="F15"/>
  <c r="F14"/>
  <c r="F12"/>
  <c r="F11"/>
  <c r="F10"/>
  <c r="F9"/>
  <c r="F8"/>
  <c r="F7"/>
  <c r="I6"/>
  <c r="H6"/>
  <c r="G6"/>
  <c r="F6" l="1"/>
  <c r="F8" i="5" l="1"/>
  <c r="F7"/>
  <c r="I6"/>
  <c r="H6"/>
  <c r="G6"/>
  <c r="F7" i="4"/>
  <c r="I6"/>
  <c r="H6"/>
  <c r="G6"/>
  <c r="F6"/>
  <c r="F8" i="3"/>
  <c r="F7"/>
  <c r="I6"/>
  <c r="H6"/>
  <c r="G6"/>
  <c r="F22" i="1"/>
  <c r="F21"/>
  <c r="F20"/>
  <c r="F19"/>
  <c r="F18"/>
  <c r="F17"/>
  <c r="F16"/>
  <c r="F15"/>
  <c r="F14"/>
  <c r="F13"/>
  <c r="F12"/>
  <c r="F11"/>
  <c r="F10"/>
  <c r="F9"/>
  <c r="F8"/>
  <c r="F7"/>
  <c r="I6"/>
  <c r="H6"/>
  <c r="F6" i="3" l="1"/>
  <c r="F6" i="5"/>
  <c r="G6" i="1"/>
  <c r="F6"/>
  <c r="E17" l="1"/>
  <c r="C15"/>
  <c r="O9" i="8"/>
  <c r="L17"/>
  <c r="L16"/>
  <c r="L15"/>
  <c r="L14"/>
  <c r="L13"/>
  <c r="L12"/>
  <c r="L11"/>
  <c r="L10"/>
  <c r="L9"/>
  <c r="L8"/>
  <c r="L7"/>
  <c r="F17"/>
  <c r="F16"/>
  <c r="F15"/>
  <c r="F14"/>
  <c r="F13"/>
  <c r="F12"/>
  <c r="F11"/>
  <c r="N17"/>
  <c r="R17" s="1"/>
  <c r="B17"/>
  <c r="N16"/>
  <c r="B16"/>
  <c r="N15"/>
  <c r="R15" s="1"/>
  <c r="B15"/>
  <c r="O14"/>
  <c r="N14" s="1"/>
  <c r="B14"/>
  <c r="N13"/>
  <c r="R13" s="1"/>
  <c r="B13"/>
  <c r="N12"/>
  <c r="B12"/>
  <c r="N11"/>
  <c r="R11" s="1"/>
  <c r="B11"/>
  <c r="N10"/>
  <c r="F10"/>
  <c r="B10"/>
  <c r="N9"/>
  <c r="F9"/>
  <c r="B9"/>
  <c r="N8"/>
  <c r="F8"/>
  <c r="B8"/>
  <c r="N7"/>
  <c r="F7"/>
  <c r="B7"/>
  <c r="Q6"/>
  <c r="P6"/>
  <c r="K6"/>
  <c r="J6"/>
  <c r="I6"/>
  <c r="H6"/>
  <c r="G6"/>
  <c r="E6"/>
  <c r="D6"/>
  <c r="C6"/>
  <c r="Q6" i="5"/>
  <c r="B7" i="4"/>
  <c r="M7" i="8" l="1"/>
  <c r="R8"/>
  <c r="R10"/>
  <c r="R12"/>
  <c r="R14"/>
  <c r="R16"/>
  <c r="L6"/>
  <c r="R7"/>
  <c r="R9"/>
  <c r="M14"/>
  <c r="B6"/>
  <c r="M9"/>
  <c r="M16"/>
  <c r="M12"/>
  <c r="M11"/>
  <c r="M13"/>
  <c r="M10"/>
  <c r="M15"/>
  <c r="M17"/>
  <c r="M8"/>
  <c r="F6"/>
  <c r="O6"/>
  <c r="N6" s="1"/>
  <c r="Q6" i="1"/>
  <c r="V6"/>
  <c r="U6"/>
  <c r="R6" i="8" l="1"/>
  <c r="M6"/>
  <c r="T10" i="6" l="1"/>
  <c r="U10"/>
  <c r="V10"/>
  <c r="T12"/>
  <c r="U12"/>
  <c r="V12"/>
  <c r="U11"/>
  <c r="V6" i="2"/>
  <c r="V11" i="6" s="1"/>
  <c r="AE8" i="2"/>
  <c r="AE9"/>
  <c r="AE10"/>
  <c r="AE11"/>
  <c r="AE12"/>
  <c r="AE14"/>
  <c r="AE15"/>
  <c r="AE16"/>
  <c r="AE18"/>
  <c r="S19"/>
  <c r="AE19" s="1"/>
  <c r="AE7"/>
  <c r="U6" i="3"/>
  <c r="V6"/>
  <c r="S6" l="1"/>
  <c r="AE6" s="1"/>
  <c r="S10" i="6"/>
  <c r="Y7" i="3"/>
  <c r="S12" i="6"/>
  <c r="Y8" i="3"/>
  <c r="S6" i="2"/>
  <c r="AE6" s="1"/>
  <c r="T11" i="6"/>
  <c r="AE12" l="1"/>
  <c r="Y10"/>
  <c r="AE10"/>
  <c r="S11"/>
  <c r="T9"/>
  <c r="U6" i="5"/>
  <c r="U9" i="6" s="1"/>
  <c r="V6" i="5"/>
  <c r="V9" i="6" s="1"/>
  <c r="AE7" i="5"/>
  <c r="U6" i="4"/>
  <c r="U8" i="6" s="1"/>
  <c r="V6" i="4"/>
  <c r="V8" i="6" s="1"/>
  <c r="T8"/>
  <c r="AE7" i="4"/>
  <c r="U7" i="6"/>
  <c r="V7"/>
  <c r="Z23" i="1"/>
  <c r="L6" i="7"/>
  <c r="K6"/>
  <c r="J6"/>
  <c r="I6"/>
  <c r="G13"/>
  <c r="H6"/>
  <c r="G11"/>
  <c r="G6" s="1"/>
  <c r="B19"/>
  <c r="B18"/>
  <c r="B17"/>
  <c r="B16"/>
  <c r="B15"/>
  <c r="B13"/>
  <c r="B11"/>
  <c r="B10"/>
  <c r="B9"/>
  <c r="B8"/>
  <c r="B7"/>
  <c r="E6"/>
  <c r="D6"/>
  <c r="C6"/>
  <c r="AE11" i="6" l="1"/>
  <c r="U6"/>
  <c r="Z7" i="4"/>
  <c r="Z6" s="1"/>
  <c r="Y7" i="5"/>
  <c r="T7" i="6"/>
  <c r="T6" s="1"/>
  <c r="B6" i="7"/>
  <c r="V6" i="6"/>
  <c r="F6" i="7"/>
  <c r="AE6" i="4"/>
  <c r="Y12" i="6"/>
  <c r="D12"/>
  <c r="C12"/>
  <c r="D10"/>
  <c r="C10"/>
  <c r="S6" i="5" l="1"/>
  <c r="AE6" s="1"/>
  <c r="AE8"/>
  <c r="S9" i="6"/>
  <c r="Y8" i="5"/>
  <c r="S6" i="1"/>
  <c r="S8" i="6"/>
  <c r="B12"/>
  <c r="Z12" s="1"/>
  <c r="B10"/>
  <c r="AE8" l="1"/>
  <c r="S7"/>
  <c r="S6" s="1"/>
  <c r="Y6" i="1"/>
  <c r="AE6"/>
  <c r="AE9" i="6"/>
  <c r="AE7"/>
  <c r="Z10"/>
  <c r="Y7" i="4"/>
  <c r="Y19" i="2"/>
  <c r="Y18"/>
  <c r="Y16"/>
  <c r="Y15"/>
  <c r="Y14"/>
  <c r="Y12"/>
  <c r="Y11"/>
  <c r="Y10"/>
  <c r="Y9"/>
  <c r="Y8"/>
  <c r="Y22" i="1"/>
  <c r="Y21"/>
  <c r="Y20"/>
  <c r="Y19"/>
  <c r="Y18"/>
  <c r="Y16"/>
  <c r="Y15"/>
  <c r="Y14"/>
  <c r="Y13"/>
  <c r="Y12"/>
  <c r="Y11"/>
  <c r="Y10"/>
  <c r="Y9"/>
  <c r="Y8"/>
  <c r="Y6" i="3"/>
  <c r="P6"/>
  <c r="Q6" i="4"/>
  <c r="P6"/>
  <c r="P6" i="5"/>
  <c r="O6" i="3"/>
  <c r="O6" i="4"/>
  <c r="O6" i="5"/>
  <c r="P6" i="1"/>
  <c r="AE6" i="6" l="1"/>
  <c r="Y17" i="1"/>
  <c r="Y7" i="2"/>
  <c r="Y9" i="6"/>
  <c r="Y7" i="1"/>
  <c r="R23"/>
  <c r="Y23"/>
  <c r="O6"/>
  <c r="B8" i="5"/>
  <c r="Z8" s="1"/>
  <c r="B7"/>
  <c r="Z7" s="1"/>
  <c r="Y6"/>
  <c r="E6"/>
  <c r="D6"/>
  <c r="D9" i="6" s="1"/>
  <c r="C6" i="5"/>
  <c r="C9" i="6" s="1"/>
  <c r="B6" i="4"/>
  <c r="Y6"/>
  <c r="E6"/>
  <c r="D6"/>
  <c r="D8" i="6" s="1"/>
  <c r="C6" i="4"/>
  <c r="C8" i="6" s="1"/>
  <c r="B8" i="3"/>
  <c r="Z8" s="1"/>
  <c r="B7"/>
  <c r="Z7" s="1"/>
  <c r="E6"/>
  <c r="D6"/>
  <c r="C6"/>
  <c r="B19" i="2"/>
  <c r="B18"/>
  <c r="B16"/>
  <c r="B15"/>
  <c r="B14"/>
  <c r="B12"/>
  <c r="B11"/>
  <c r="B10"/>
  <c r="B9"/>
  <c r="B8"/>
  <c r="B7"/>
  <c r="E6"/>
  <c r="D6"/>
  <c r="D11" i="6" s="1"/>
  <c r="C6" i="2"/>
  <c r="C11" i="6" s="1"/>
  <c r="Y11" l="1"/>
  <c r="R7" i="2"/>
  <c r="Z7"/>
  <c r="R9"/>
  <c r="Z9"/>
  <c r="R11"/>
  <c r="Z11"/>
  <c r="R14"/>
  <c r="Z14"/>
  <c r="R16"/>
  <c r="Z16"/>
  <c r="R19"/>
  <c r="Z19"/>
  <c r="R7" i="3"/>
  <c r="R8" i="5"/>
  <c r="R8" i="2"/>
  <c r="Z8"/>
  <c r="R10"/>
  <c r="Z10"/>
  <c r="R12"/>
  <c r="Z12"/>
  <c r="R15"/>
  <c r="Z15"/>
  <c r="R18"/>
  <c r="Z18"/>
  <c r="R8" i="3"/>
  <c r="R7" i="5"/>
  <c r="B11" i="6"/>
  <c r="B8"/>
  <c r="Z8" s="1"/>
  <c r="B9"/>
  <c r="R7" i="4"/>
  <c r="R6" s="1"/>
  <c r="B6" i="3"/>
  <c r="B6" i="5"/>
  <c r="B6" i="2"/>
  <c r="Y6"/>
  <c r="B8" i="1"/>
  <c r="B9"/>
  <c r="B10"/>
  <c r="B11"/>
  <c r="B12"/>
  <c r="B13"/>
  <c r="B14"/>
  <c r="B15"/>
  <c r="B16"/>
  <c r="B17"/>
  <c r="R17" s="1"/>
  <c r="B18"/>
  <c r="B19"/>
  <c r="B20"/>
  <c r="B21"/>
  <c r="B22"/>
  <c r="B7"/>
  <c r="D6"/>
  <c r="D7" i="6" s="1"/>
  <c r="E6" i="1"/>
  <c r="C6"/>
  <c r="C7" i="6" s="1"/>
  <c r="C6" s="1"/>
  <c r="Y7" l="1"/>
  <c r="R6" i="5"/>
  <c r="R6" i="2"/>
  <c r="R6" i="3"/>
  <c r="Z6" i="5"/>
  <c r="R22" i="1"/>
  <c r="Z22"/>
  <c r="R20"/>
  <c r="Z20"/>
  <c r="R18"/>
  <c r="Z18"/>
  <c r="R16"/>
  <c r="Z16"/>
  <c r="R14"/>
  <c r="Z14"/>
  <c r="R12"/>
  <c r="Z12"/>
  <c r="R10"/>
  <c r="Z10"/>
  <c r="R8"/>
  <c r="Z8"/>
  <c r="Z6" i="3"/>
  <c r="Z6" i="2"/>
  <c r="R7" i="1"/>
  <c r="Z7"/>
  <c r="R21"/>
  <c r="Z21"/>
  <c r="R19"/>
  <c r="Z19"/>
  <c r="Z17"/>
  <c r="R15"/>
  <c r="Z15"/>
  <c r="R13"/>
  <c r="Z13"/>
  <c r="R11"/>
  <c r="Z11"/>
  <c r="R9"/>
  <c r="Z9"/>
  <c r="Z9" i="6"/>
  <c r="Z11"/>
  <c r="B7"/>
  <c r="B6" s="1"/>
  <c r="D6"/>
  <c r="B6" i="1"/>
  <c r="R6" l="1"/>
  <c r="Z7" i="6"/>
  <c r="Z6" s="1"/>
  <c r="Z6" i="1"/>
  <c r="Y8" i="6" l="1"/>
  <c r="Y6" s="1"/>
</calcChain>
</file>

<file path=xl/sharedStrings.xml><?xml version="1.0" encoding="utf-8"?>
<sst xmlns="http://schemas.openxmlformats.org/spreadsheetml/2006/main" count="442" uniqueCount="175">
  <si>
    <t>Наименование</t>
  </si>
  <si>
    <t>2015 год</t>
  </si>
  <si>
    <t>2016 год</t>
  </si>
  <si>
    <t>Отклонения</t>
  </si>
  <si>
    <t>в том числе</t>
  </si>
  <si>
    <t>бюджет</t>
  </si>
  <si>
    <t>дополнительно</t>
  </si>
  <si>
    <t>уплата налога на имущество</t>
  </si>
  <si>
    <t>ИТОГО</t>
  </si>
  <si>
    <t>Глава</t>
  </si>
  <si>
    <t>Аппарат администрации</t>
  </si>
  <si>
    <t>Резервный фонд</t>
  </si>
  <si>
    <t>Оценка недвижимости</t>
  </si>
  <si>
    <t>МФЦ</t>
  </si>
  <si>
    <t>Поощрение граждан</t>
  </si>
  <si>
    <t>Транспорт</t>
  </si>
  <si>
    <t>Дорожный фонд</t>
  </si>
  <si>
    <t>Коммунальное хозяйство</t>
  </si>
  <si>
    <t>ОКС - аппарат</t>
  </si>
  <si>
    <t>Культура - РКЦ</t>
  </si>
  <si>
    <t>Муниципальные пенсии</t>
  </si>
  <si>
    <t>Редакция</t>
  </si>
  <si>
    <t>Отдел по образованию (аппарат)</t>
  </si>
  <si>
    <t>Дошкольные учреждения</t>
  </si>
  <si>
    <t>Школы казенные</t>
  </si>
  <si>
    <t>Школы бюджетные</t>
  </si>
  <si>
    <t>ДДТ</t>
  </si>
  <si>
    <t>ДМШ</t>
  </si>
  <si>
    <t>ДЮСШ</t>
  </si>
  <si>
    <t>Ромашка</t>
  </si>
  <si>
    <t>МБУ</t>
  </si>
  <si>
    <t>Аппарат финотдела</t>
  </si>
  <si>
    <t>Межбюджетные трансферты</t>
  </si>
  <si>
    <t>Аппарат Думы</t>
  </si>
  <si>
    <t>Председатель</t>
  </si>
  <si>
    <t>Аппарат</t>
  </si>
  <si>
    <t>Исполнено на 17.11</t>
  </si>
  <si>
    <t>дороги</t>
  </si>
  <si>
    <t>вода</t>
  </si>
  <si>
    <t>ТО газа</t>
  </si>
  <si>
    <t>иные</t>
  </si>
  <si>
    <t>доп фин</t>
  </si>
  <si>
    <t>софинансирование летн площ</t>
  </si>
  <si>
    <t>Факт 2015г</t>
  </si>
  <si>
    <t>Администрация</t>
  </si>
  <si>
    <t>Дума</t>
  </si>
  <si>
    <t>КСП</t>
  </si>
  <si>
    <t>Финансовый отдел</t>
  </si>
  <si>
    <t>Образование</t>
  </si>
  <si>
    <t>фин устойч</t>
  </si>
  <si>
    <t>Развитие предпринимательства</t>
  </si>
  <si>
    <t>Госуслуги</t>
  </si>
  <si>
    <t>ОНТ</t>
  </si>
  <si>
    <t>ГОЧС</t>
  </si>
  <si>
    <t>Доступная среда</t>
  </si>
  <si>
    <t>Бассейн</t>
  </si>
  <si>
    <t>Безопасность дор движ</t>
  </si>
  <si>
    <t>Реструктуризация</t>
  </si>
  <si>
    <t>ФК и спорт</t>
  </si>
  <si>
    <t>Молодежная политика</t>
  </si>
  <si>
    <t>Энергэф (окна)</t>
  </si>
  <si>
    <t>Духовно-нравств</t>
  </si>
  <si>
    <t>Наркотич</t>
  </si>
  <si>
    <t>Муниципальные программы</t>
  </si>
  <si>
    <t>2017 год</t>
  </si>
  <si>
    <t>МП</t>
  </si>
  <si>
    <t>Проект на 2017 г</t>
  </si>
  <si>
    <t>ФО</t>
  </si>
  <si>
    <t>Адм</t>
  </si>
  <si>
    <t>План на 15.11.2016 год</t>
  </si>
  <si>
    <t>беженцы (аттестация рабочих мест)</t>
  </si>
  <si>
    <t>Сравнительный анализ плановых показателей 2015г. и 2016г. и план 2017г
Отдела по образованию, спорту и молодёжной политике</t>
  </si>
  <si>
    <t>Без дополнительного</t>
  </si>
  <si>
    <t>Снижение по ст 211 - 31,6; ст 213- 39,6 тепло - 19 канцхоз - 9; прочее - 28,5</t>
  </si>
  <si>
    <t>снижение по 223 - 225,1; ст 225 - 131,1 ст 226 - 52,3 увеличение по ст 340 - 164,9 ст 290 - 46,2 (в т.ч. Зем налог -75)</t>
  </si>
  <si>
    <t>снижение - повыш квалиф - 144,7; связь - 45; рост программы - 13,9 тепло - 447,4 питание (завтраки) - 80, дошкольн гр - 220,8; питание (школа) - 73; гсм - 26; нефть - 335</t>
  </si>
  <si>
    <t>рост коммунальн - 162,9  канцхоз и питание - 396,3 земельный налог - 167,7 снижение по ст 225 - 141,6 ст 221-24,6</t>
  </si>
  <si>
    <t>экономия коммун - 162 командиров - 15,3; з/пл - 73; содерж имущ - 27,6</t>
  </si>
  <si>
    <t>з/плата - 203,1; коммунальные - 89,6; земельный налог - 167,2</t>
  </si>
  <si>
    <t>ст 226</t>
  </si>
  <si>
    <t>1т на чел</t>
  </si>
  <si>
    <t>Причины роста</t>
  </si>
  <si>
    <t>Собственные доходы</t>
  </si>
  <si>
    <t>Расходы без мун программ</t>
  </si>
  <si>
    <t>Мун программы</t>
  </si>
  <si>
    <t>Итого дефицит</t>
  </si>
  <si>
    <t>Допустимый дефицит</t>
  </si>
  <si>
    <t>Факт 2016г</t>
  </si>
  <si>
    <t>Исполнено на 01.11</t>
  </si>
  <si>
    <t xml:space="preserve">в т.ч. Дополнительно - </t>
  </si>
  <si>
    <t>2018 год</t>
  </si>
  <si>
    <t>По сравнению с фактом 2016г</t>
  </si>
  <si>
    <t>Ремонт спортивного зала</t>
  </si>
  <si>
    <t>Сельское хозяйство</t>
  </si>
  <si>
    <t>Сохранение и развитие культурной политики</t>
  </si>
  <si>
    <t>МКУ ЦБ</t>
  </si>
  <si>
    <t>По сравнению с фактом 2017г</t>
  </si>
  <si>
    <t>Факт 2017г</t>
  </si>
  <si>
    <t>Исполнено на 01.10</t>
  </si>
  <si>
    <t>План на 01.10. 2018 год</t>
  </si>
  <si>
    <t>МП Развитие  сельского хозяйства</t>
  </si>
  <si>
    <t xml:space="preserve">терроризм </t>
  </si>
  <si>
    <t xml:space="preserve"> бассейна</t>
  </si>
  <si>
    <t>не включ</t>
  </si>
  <si>
    <t>МП "Развитие физич культ</t>
  </si>
  <si>
    <t>2020 год</t>
  </si>
  <si>
    <t>Факт 2018г</t>
  </si>
  <si>
    <t xml:space="preserve">иные </t>
  </si>
  <si>
    <t>(МБУ) МКУ Образование</t>
  </si>
  <si>
    <t>Водоснабжение</t>
  </si>
  <si>
    <t>Итого расходы</t>
  </si>
  <si>
    <t>мероприятия по оценке земли и градостроительная документация</t>
  </si>
  <si>
    <t>План на 01.11. 2020 год</t>
  </si>
  <si>
    <t>не софин</t>
  </si>
  <si>
    <t>софин</t>
  </si>
  <si>
    <t>обл</t>
  </si>
  <si>
    <t>Энергоэф (кровли)</t>
  </si>
  <si>
    <t>Энергоэф (светильники)</t>
  </si>
  <si>
    <t>Доступная среда (дооснащ обьектов ФК для лиц с ОВЗ)</t>
  </si>
  <si>
    <t>Водоснабжение (техника для подвоза воды)</t>
  </si>
  <si>
    <t>Водоснабжение (водопровод Гмелинка)</t>
  </si>
  <si>
    <t>Водоснабжение (водопровод Ст Полтавка)</t>
  </si>
  <si>
    <t>Защита прав потребителей</t>
  </si>
  <si>
    <t>Комплексное развитие сельских территорий</t>
  </si>
  <si>
    <t>ГОЧС (здание для Пож поста)</t>
  </si>
  <si>
    <t>Сертификаты по допобразованию</t>
  </si>
  <si>
    <t>расчет 2023г</t>
  </si>
  <si>
    <t>Инициативы</t>
  </si>
  <si>
    <t>ОКС. 0113</t>
  </si>
  <si>
    <t>2023 район</t>
  </si>
  <si>
    <t>2024 район</t>
  </si>
  <si>
    <t>2025 район</t>
  </si>
  <si>
    <t>всего 2023г</t>
  </si>
  <si>
    <t>ФК и спорт (инициативы)</t>
  </si>
  <si>
    <t>население</t>
  </si>
  <si>
    <t>Водоснабжение (инициативы)</t>
  </si>
  <si>
    <t>2022 год</t>
  </si>
  <si>
    <t>2023 год</t>
  </si>
  <si>
    <t>Проект на 2023 г</t>
  </si>
  <si>
    <t>Проект на 2023г.</t>
  </si>
  <si>
    <t>Инициативы с/п</t>
  </si>
  <si>
    <t>2023г</t>
  </si>
  <si>
    <t>Отдел по образованию</t>
  </si>
  <si>
    <t>Военкомат проект</t>
  </si>
  <si>
    <t>Энергоэффективность (инициативы)</t>
  </si>
  <si>
    <t>Благоустройство площадок (инициативы)</t>
  </si>
  <si>
    <t>Инициативы непрогр ()</t>
  </si>
  <si>
    <t>Водоснабжение (водоочистка)</t>
  </si>
  <si>
    <t>Комплексные кадастровые работы</t>
  </si>
  <si>
    <t xml:space="preserve">гсм - 150 </t>
  </si>
  <si>
    <t>зч и хоз - 125 зп 715.5 зп</t>
  </si>
  <si>
    <t>зп - 406.4 рем 622 всего</t>
  </si>
  <si>
    <t>зп МРОТ</t>
  </si>
  <si>
    <t xml:space="preserve">200 - подарки, 120 - транспорт, 373 -з/п, 125 - ком.услуги </t>
  </si>
  <si>
    <t>зп-1784.6</t>
  </si>
  <si>
    <t>зп - 60</t>
  </si>
  <si>
    <t>зп - 482</t>
  </si>
  <si>
    <t>зп - 267.4</t>
  </si>
  <si>
    <t>з/п - 262.6</t>
  </si>
  <si>
    <t>Проект на 2024 г</t>
  </si>
  <si>
    <t>Проект на 2024г.</t>
  </si>
  <si>
    <t>2024 год</t>
  </si>
  <si>
    <t>2024г</t>
  </si>
  <si>
    <t>Сравнительный анализ плановых показателей 2024 и 2023г
Администрации Старополтавского муниципального района</t>
  </si>
  <si>
    <t>вернуть 2030270 мун прогр</t>
  </si>
  <si>
    <t>образ резерв 2000</t>
  </si>
  <si>
    <t>убрали нераспр 2000 и добавили 300 на энергетику</t>
  </si>
  <si>
    <t>убрали из программ 2030270</t>
  </si>
  <si>
    <t>ЦБ убрали 430 (безвозвратно</t>
  </si>
  <si>
    <t>Редакцию уменьшили до 1500 (без возврата</t>
  </si>
  <si>
    <t>ОКС - 400 ремонты (без возврата)</t>
  </si>
  <si>
    <t>з/п 7%</t>
  </si>
  <si>
    <t>зп на 7%</t>
  </si>
  <si>
    <t>з/п на 7%</t>
  </si>
  <si>
    <t>156990.5 и 19076.1 от сбалансир и 535 иниц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</si>
</sst>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164" fontId="4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1" fillId="0" borderId="1" xfId="0" applyFont="1" applyFill="1" applyBorder="1"/>
    <xf numFmtId="0" fontId="1" fillId="0" borderId="2" xfId="0" applyFont="1" applyBorder="1"/>
    <xf numFmtId="0" fontId="1" fillId="0" borderId="2" xfId="0" applyFont="1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7" borderId="1" xfId="0" applyFont="1" applyFill="1" applyBorder="1"/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6" fillId="0" borderId="1" xfId="0" applyFont="1" applyBorder="1"/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64" fontId="9" fillId="0" borderId="1" xfId="0" applyNumberFormat="1" applyFont="1" applyBorder="1"/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/>
    <xf numFmtId="164" fontId="4" fillId="0" borderId="1" xfId="0" applyNumberFormat="1" applyFont="1" applyFill="1" applyBorder="1"/>
    <xf numFmtId="0" fontId="0" fillId="0" borderId="0" xfId="0" applyFill="1" applyBorder="1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" fillId="2" borderId="2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6" borderId="1" xfId="0" applyFont="1" applyFill="1" applyBorder="1"/>
    <xf numFmtId="0" fontId="1" fillId="9" borderId="2" xfId="0" applyFont="1" applyFill="1" applyBorder="1"/>
    <xf numFmtId="0" fontId="0" fillId="0" borderId="2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topLeftCell="A9" zoomScaleSheetLayoutView="70" workbookViewId="0">
      <pane xSplit="5" topLeftCell="F1" activePane="topRight" state="frozen"/>
      <selection pane="topRight" activeCell="Q25" sqref="Q25"/>
    </sheetView>
  </sheetViews>
  <sheetFormatPr defaultRowHeight="15"/>
  <cols>
    <col min="1" max="1" width="19" customWidth="1"/>
    <col min="2" max="2" width="11.85546875" hidden="1" customWidth="1"/>
    <col min="3" max="3" width="11" hidden="1" customWidth="1"/>
    <col min="4" max="4" width="9.28515625" hidden="1" customWidth="1"/>
    <col min="5" max="5" width="9.28515625" customWidth="1"/>
    <col min="6" max="6" width="12.5703125" style="44" customWidth="1"/>
    <col min="7" max="7" width="10.7109375" style="44" hidden="1" customWidth="1"/>
    <col min="8" max="9" width="9.28515625" style="44" hidden="1" customWidth="1"/>
    <col min="10" max="10" width="13.42578125" style="46" hidden="1" customWidth="1"/>
    <col min="11" max="11" width="12.140625" style="46" hidden="1" customWidth="1"/>
    <col min="12" max="12" width="11.5703125" style="46" hidden="1" customWidth="1"/>
    <col min="13" max="13" width="12.140625" style="46" hidden="1" customWidth="1"/>
    <col min="14" max="14" width="17.85546875" hidden="1" customWidth="1"/>
    <col min="15" max="15" width="13" customWidth="1"/>
    <col min="16" max="16" width="11.5703125" customWidth="1"/>
    <col min="17" max="17" width="14.42578125" customWidth="1"/>
    <col min="18" max="18" width="16.28515625" customWidth="1"/>
    <col min="19" max="19" width="10.7109375" customWidth="1"/>
    <col min="20" max="20" width="11.28515625" hidden="1" customWidth="1"/>
    <col min="21" max="22" width="0" hidden="1" customWidth="1"/>
    <col min="23" max="24" width="0" style="46" hidden="1" customWidth="1"/>
    <col min="25" max="25" width="18.85546875" hidden="1" customWidth="1"/>
    <col min="26" max="26" width="11.28515625" hidden="1" customWidth="1"/>
    <col min="27" max="27" width="10.85546875" customWidth="1"/>
    <col min="28" max="28" width="13.85546875" hidden="1" customWidth="1"/>
    <col min="29" max="30" width="9.140625" hidden="1" customWidth="1"/>
    <col min="31" max="31" width="20.85546875" customWidth="1"/>
  </cols>
  <sheetData>
    <row r="1" spans="1:31" ht="36.75" customHeight="1">
      <c r="A1" s="210" t="s">
        <v>163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3"/>
    </row>
    <row r="3" spans="1:31" ht="25.5" customHeight="1">
      <c r="A3" s="205" t="s">
        <v>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6"/>
      <c r="R3" s="200"/>
      <c r="S3" s="195" t="s">
        <v>141</v>
      </c>
      <c r="T3" s="198">
        <v>2022</v>
      </c>
      <c r="U3" s="199"/>
      <c r="V3" s="199"/>
      <c r="W3" s="172"/>
      <c r="X3" s="172"/>
      <c r="Y3" s="200" t="s">
        <v>3</v>
      </c>
      <c r="Z3" s="192" t="s">
        <v>96</v>
      </c>
      <c r="AA3" s="195" t="s">
        <v>162</v>
      </c>
      <c r="AB3" s="198" t="s">
        <v>161</v>
      </c>
      <c r="AC3" s="199"/>
      <c r="AD3" s="199"/>
      <c r="AE3" s="200" t="s">
        <v>3</v>
      </c>
    </row>
    <row r="4" spans="1:31" ht="15.75" customHeight="1">
      <c r="A4" s="205"/>
      <c r="B4" s="206"/>
      <c r="C4" s="205"/>
      <c r="D4" s="205"/>
      <c r="E4" s="205"/>
      <c r="F4" s="206"/>
      <c r="G4" s="205"/>
      <c r="H4" s="205"/>
      <c r="I4" s="205"/>
      <c r="J4" s="206"/>
      <c r="K4" s="205"/>
      <c r="L4" s="205"/>
      <c r="M4" s="205"/>
      <c r="N4" s="206"/>
      <c r="O4" s="205"/>
      <c r="P4" s="205"/>
      <c r="Q4" s="6"/>
      <c r="R4" s="200"/>
      <c r="S4" s="196"/>
      <c r="T4" s="201" t="s">
        <v>4</v>
      </c>
      <c r="U4" s="201"/>
      <c r="V4" s="201"/>
      <c r="W4" s="13"/>
      <c r="X4" s="13"/>
      <c r="Y4" s="200"/>
      <c r="Z4" s="193"/>
      <c r="AA4" s="196"/>
      <c r="AB4" s="201" t="s">
        <v>4</v>
      </c>
      <c r="AC4" s="201"/>
      <c r="AD4" s="201"/>
      <c r="AE4" s="200"/>
    </row>
    <row r="5" spans="1:31" ht="78.75">
      <c r="A5" s="205"/>
      <c r="B5" s="206"/>
      <c r="C5" s="6"/>
      <c r="D5" s="6"/>
      <c r="E5" s="6"/>
      <c r="F5" s="206"/>
      <c r="G5" s="43"/>
      <c r="H5" s="43"/>
      <c r="I5" s="43"/>
      <c r="J5" s="206"/>
      <c r="K5" s="98"/>
      <c r="L5" s="98"/>
      <c r="M5" s="98"/>
      <c r="N5" s="206"/>
      <c r="O5" s="6"/>
      <c r="P5" s="118"/>
      <c r="Q5" s="118"/>
      <c r="R5" s="200"/>
      <c r="S5" s="197"/>
      <c r="T5" s="13" t="s">
        <v>5</v>
      </c>
      <c r="U5" s="13" t="s">
        <v>98</v>
      </c>
      <c r="V5" s="13" t="s">
        <v>7</v>
      </c>
      <c r="W5" s="13" t="s">
        <v>98</v>
      </c>
      <c r="X5" s="13" t="s">
        <v>6</v>
      </c>
      <c r="Y5" s="200"/>
      <c r="Z5" s="194"/>
      <c r="AA5" s="197"/>
      <c r="AB5" s="13" t="s">
        <v>5</v>
      </c>
      <c r="AC5" s="13" t="s">
        <v>65</v>
      </c>
      <c r="AD5" s="13" t="s">
        <v>7</v>
      </c>
      <c r="AE5" s="200"/>
    </row>
    <row r="6" spans="1:31" ht="31.5" customHeight="1">
      <c r="A6" s="6" t="s">
        <v>8</v>
      </c>
      <c r="B6" s="28">
        <f t="shared" ref="B6:D6" si="0">SUM(B7:B19)</f>
        <v>112047</v>
      </c>
      <c r="C6" s="5">
        <f t="shared" si="0"/>
        <v>108979.7</v>
      </c>
      <c r="D6" s="5">
        <f t="shared" si="0"/>
        <v>3067.3</v>
      </c>
      <c r="E6" s="5"/>
      <c r="F6" s="28"/>
      <c r="G6" s="5"/>
      <c r="H6" s="5"/>
      <c r="I6" s="5"/>
      <c r="J6" s="28"/>
      <c r="K6" s="5"/>
      <c r="L6" s="5"/>
      <c r="M6" s="5"/>
      <c r="N6" s="28"/>
      <c r="O6" s="28"/>
      <c r="P6" s="28"/>
      <c r="Q6" s="28"/>
      <c r="R6" s="15"/>
      <c r="S6" s="173">
        <f>SUM(S7:S12)</f>
        <v>178206.8</v>
      </c>
      <c r="T6" s="173">
        <f t="shared" ref="T6:Z6" si="1">SUM(T7:T12)</f>
        <v>178096.19999999998</v>
      </c>
      <c r="U6" s="173">
        <f>SUM(U7:U12)</f>
        <v>0</v>
      </c>
      <c r="V6" s="173">
        <f t="shared" si="1"/>
        <v>0</v>
      </c>
      <c r="W6" s="173"/>
      <c r="X6" s="173">
        <f t="shared" si="1"/>
        <v>0</v>
      </c>
      <c r="Y6" s="171">
        <f t="shared" ref="Y6" si="2">SUM(Y7:Y19)</f>
        <v>178206.8</v>
      </c>
      <c r="Z6" s="173">
        <f t="shared" si="1"/>
        <v>66159.8</v>
      </c>
      <c r="AA6" s="173">
        <f>SUM(AA7:AA12)</f>
        <v>198053.80000000002</v>
      </c>
      <c r="AB6" s="173">
        <f t="shared" ref="AB6" si="3">SUM(AB7:AB12)</f>
        <v>198053.80000000002</v>
      </c>
      <c r="AC6" s="173">
        <f>Администрация!AC6</f>
        <v>0</v>
      </c>
      <c r="AD6" s="173">
        <f>Администрация!AD6</f>
        <v>0</v>
      </c>
      <c r="AE6" s="173">
        <f>SUM(AE7:AE12)</f>
        <v>19847.000000000007</v>
      </c>
    </row>
    <row r="7" spans="1:31" ht="27" customHeight="1">
      <c r="A7" s="4" t="s">
        <v>44</v>
      </c>
      <c r="B7" s="28">
        <f>SUM(C7:E7)</f>
        <v>37666.800000000003</v>
      </c>
      <c r="C7" s="5">
        <f>Администрация!C6</f>
        <v>37359.9</v>
      </c>
      <c r="D7" s="5">
        <f>Администрация!D6</f>
        <v>306.89999999999998</v>
      </c>
      <c r="E7" s="5"/>
      <c r="F7" s="28"/>
      <c r="G7" s="5"/>
      <c r="H7" s="5"/>
      <c r="I7" s="5"/>
      <c r="J7" s="28"/>
      <c r="K7" s="5"/>
      <c r="L7" s="5"/>
      <c r="M7" s="5"/>
      <c r="N7" s="28"/>
      <c r="O7" s="29"/>
      <c r="P7" s="29"/>
      <c r="Q7" s="29"/>
      <c r="R7" s="15"/>
      <c r="S7" s="173">
        <f>Администрация!S6</f>
        <v>57293.600000000006</v>
      </c>
      <c r="T7" s="175">
        <f>Администрация!T6</f>
        <v>58247.6</v>
      </c>
      <c r="U7" s="175">
        <f>Администрация!U6</f>
        <v>0</v>
      </c>
      <c r="V7" s="175">
        <f>Администрация!V6</f>
        <v>0</v>
      </c>
      <c r="W7" s="175"/>
      <c r="X7" s="175">
        <f>Администрация!X6</f>
        <v>0</v>
      </c>
      <c r="Y7" s="175">
        <f>S7-N7</f>
        <v>57293.600000000006</v>
      </c>
      <c r="Z7" s="180">
        <f t="shared" ref="Z7:Z12" si="4">S7-B7</f>
        <v>19626.800000000003</v>
      </c>
      <c r="AA7" s="173">
        <f>AB7+AC7+AD7</f>
        <v>63065.000000000007</v>
      </c>
      <c r="AB7" s="174">
        <f>Администрация!AB6</f>
        <v>63065.000000000007</v>
      </c>
      <c r="AC7" s="174">
        <f>Администрация!AC6</f>
        <v>0</v>
      </c>
      <c r="AD7" s="174">
        <f>Администрация!AD6</f>
        <v>0</v>
      </c>
      <c r="AE7" s="175">
        <f>AA7-S7</f>
        <v>5771.4000000000015</v>
      </c>
    </row>
    <row r="8" spans="1:31" ht="21.75" customHeight="1">
      <c r="A8" s="4" t="s">
        <v>45</v>
      </c>
      <c r="B8" s="28">
        <f t="shared" ref="B8:B11" si="5">SUM(C8:E8)</f>
        <v>683</v>
      </c>
      <c r="C8" s="5">
        <f>Дума!C6</f>
        <v>683</v>
      </c>
      <c r="D8" s="5">
        <f>Дума!D6</f>
        <v>0</v>
      </c>
      <c r="E8" s="5"/>
      <c r="F8" s="28"/>
      <c r="G8" s="5"/>
      <c r="H8" s="5"/>
      <c r="I8" s="5"/>
      <c r="J8" s="28"/>
      <c r="K8" s="5"/>
      <c r="L8" s="5"/>
      <c r="M8" s="5"/>
      <c r="N8" s="28"/>
      <c r="O8" s="29"/>
      <c r="P8" s="29"/>
      <c r="Q8" s="29"/>
      <c r="R8" s="15"/>
      <c r="S8" s="173">
        <f>Дума!S6</f>
        <v>567.70000000000005</v>
      </c>
      <c r="T8" s="175">
        <f>Дума!T6</f>
        <v>446.1</v>
      </c>
      <c r="U8" s="175">
        <f>Дума!U6</f>
        <v>0</v>
      </c>
      <c r="V8" s="175">
        <f>Дума!V6</f>
        <v>0</v>
      </c>
      <c r="W8" s="175"/>
      <c r="X8" s="175"/>
      <c r="Y8" s="175">
        <f t="shared" ref="Y8:Y12" si="6">S8-N8</f>
        <v>567.70000000000005</v>
      </c>
      <c r="Z8" s="180">
        <f t="shared" si="4"/>
        <v>-115.29999999999995</v>
      </c>
      <c r="AA8" s="173">
        <f t="shared" ref="AA8:AA12" si="7">AB8+AC8+AD8</f>
        <v>603.5</v>
      </c>
      <c r="AB8" s="175">
        <f>Дума!AB6</f>
        <v>603.5</v>
      </c>
      <c r="AC8" s="175">
        <f>Дума!AC6</f>
        <v>0</v>
      </c>
      <c r="AD8" s="175">
        <f>Дума!AD6</f>
        <v>0</v>
      </c>
      <c r="AE8" s="175">
        <f t="shared" ref="AE8:AE12" si="8">AA8-S8</f>
        <v>35.799999999999955</v>
      </c>
    </row>
    <row r="9" spans="1:31" ht="34.5" customHeight="1">
      <c r="A9" s="4" t="s">
        <v>46</v>
      </c>
      <c r="B9" s="28">
        <f t="shared" si="5"/>
        <v>1272.0999999999999</v>
      </c>
      <c r="C9" s="5">
        <f>КСП!C6</f>
        <v>1272.0999999999999</v>
      </c>
      <c r="D9" s="5">
        <f>КСП!D6</f>
        <v>0</v>
      </c>
      <c r="E9" s="5"/>
      <c r="F9" s="28"/>
      <c r="G9" s="5"/>
      <c r="H9" s="5"/>
      <c r="I9" s="5"/>
      <c r="J9" s="28"/>
      <c r="K9" s="5"/>
      <c r="L9" s="5"/>
      <c r="M9" s="5"/>
      <c r="N9" s="28"/>
      <c r="O9" s="29"/>
      <c r="P9" s="29"/>
      <c r="Q9" s="29"/>
      <c r="R9" s="15"/>
      <c r="S9" s="173">
        <f>КСП!S6</f>
        <v>1695</v>
      </c>
      <c r="T9" s="175">
        <f>КСП!T6</f>
        <v>1588.5</v>
      </c>
      <c r="U9" s="175">
        <f>КСП!U6</f>
        <v>0</v>
      </c>
      <c r="V9" s="175">
        <f>КСП!V6</f>
        <v>0</v>
      </c>
      <c r="W9" s="175"/>
      <c r="X9" s="175"/>
      <c r="Y9" s="175">
        <f t="shared" si="6"/>
        <v>1695</v>
      </c>
      <c r="Z9" s="180">
        <f t="shared" si="4"/>
        <v>422.90000000000009</v>
      </c>
      <c r="AA9" s="173">
        <f t="shared" si="7"/>
        <v>1810.5</v>
      </c>
      <c r="AB9" s="175">
        <f>КСП!AB6</f>
        <v>1810.5</v>
      </c>
      <c r="AC9" s="175">
        <f>КСП!AC6</f>
        <v>0</v>
      </c>
      <c r="AD9" s="175">
        <f>КСП!AD6</f>
        <v>0</v>
      </c>
      <c r="AE9" s="175">
        <f t="shared" si="8"/>
        <v>115.5</v>
      </c>
    </row>
    <row r="10" spans="1:31" ht="41.25" customHeight="1">
      <c r="A10" s="4" t="s">
        <v>47</v>
      </c>
      <c r="B10" s="28">
        <f t="shared" si="5"/>
        <v>3877.9</v>
      </c>
      <c r="C10" s="5">
        <f>'Финансовый отдел'!C7</f>
        <v>3877.9</v>
      </c>
      <c r="D10" s="5">
        <f>'Финансовый отдел'!D7</f>
        <v>0</v>
      </c>
      <c r="E10" s="5"/>
      <c r="F10" s="28"/>
      <c r="G10" s="5"/>
      <c r="H10" s="5"/>
      <c r="I10" s="5"/>
      <c r="J10" s="28"/>
      <c r="K10" s="5"/>
      <c r="L10" s="5"/>
      <c r="M10" s="5"/>
      <c r="N10" s="28"/>
      <c r="O10" s="29"/>
      <c r="P10" s="29"/>
      <c r="Q10" s="29"/>
      <c r="R10" s="15"/>
      <c r="S10" s="173">
        <f>'Финансовый отдел'!S7</f>
        <v>5229.8999999999996</v>
      </c>
      <c r="T10" s="175">
        <f>'Финансовый отдел'!T7</f>
        <v>4863.7</v>
      </c>
      <c r="U10" s="175">
        <f>'Финансовый отдел'!U7</f>
        <v>0</v>
      </c>
      <c r="V10" s="175">
        <f>'Финансовый отдел'!V7</f>
        <v>0</v>
      </c>
      <c r="W10" s="175"/>
      <c r="X10" s="175"/>
      <c r="Y10" s="175">
        <f t="shared" si="6"/>
        <v>5229.8999999999996</v>
      </c>
      <c r="Z10" s="180">
        <f t="shared" si="4"/>
        <v>1351.9999999999995</v>
      </c>
      <c r="AA10" s="173">
        <f t="shared" si="7"/>
        <v>5375.3</v>
      </c>
      <c r="AB10" s="175">
        <f>'Финансовый отдел'!AB7</f>
        <v>5375.3</v>
      </c>
      <c r="AC10" s="175">
        <f>'Финансовый отдел'!AC7</f>
        <v>0</v>
      </c>
      <c r="AD10" s="175">
        <f>'Финансовый отдел'!AD6</f>
        <v>0</v>
      </c>
      <c r="AE10" s="175">
        <f t="shared" si="8"/>
        <v>145.40000000000055</v>
      </c>
    </row>
    <row r="11" spans="1:31" ht="32.25" customHeight="1">
      <c r="A11" s="4" t="s">
        <v>48</v>
      </c>
      <c r="B11" s="28">
        <f t="shared" si="5"/>
        <v>65949.399999999994</v>
      </c>
      <c r="C11" s="5">
        <f>'Отдел по образованию'!C6</f>
        <v>63188.999999999993</v>
      </c>
      <c r="D11" s="5">
        <f>'Отдел по образованию'!D6</f>
        <v>2760.4</v>
      </c>
      <c r="E11" s="5"/>
      <c r="F11" s="28"/>
      <c r="G11" s="5"/>
      <c r="H11" s="5"/>
      <c r="I11" s="5"/>
      <c r="J11" s="28"/>
      <c r="K11" s="5"/>
      <c r="L11" s="5"/>
      <c r="M11" s="5"/>
      <c r="N11" s="28"/>
      <c r="O11" s="29"/>
      <c r="P11" s="29"/>
      <c r="Q11" s="29"/>
      <c r="R11" s="15"/>
      <c r="S11" s="173">
        <f>'Отдел по образованию'!S6</f>
        <v>108718.29999999999</v>
      </c>
      <c r="T11" s="175">
        <f>'Отдел по образованию'!T6</f>
        <v>108718.29999999999</v>
      </c>
      <c r="U11" s="175">
        <f>'Отдел по образованию'!U6</f>
        <v>0</v>
      </c>
      <c r="V11" s="175">
        <f>'Отдел по образованию'!V6</f>
        <v>0</v>
      </c>
      <c r="W11" s="175"/>
      <c r="X11" s="175">
        <f>'Отдел по образованию'!X6</f>
        <v>0</v>
      </c>
      <c r="Y11" s="175">
        <f t="shared" si="6"/>
        <v>108718.29999999999</v>
      </c>
      <c r="Z11" s="180">
        <f t="shared" si="4"/>
        <v>42768.899999999994</v>
      </c>
      <c r="AA11" s="173">
        <f t="shared" si="7"/>
        <v>122138.9</v>
      </c>
      <c r="AB11" s="175">
        <f>'Отдел по образованию'!AB6</f>
        <v>122138.9</v>
      </c>
      <c r="AC11" s="175">
        <f>'Отдел по образованию'!AC6</f>
        <v>0</v>
      </c>
      <c r="AD11" s="175">
        <f>'Отдел по образованию'!AD6</f>
        <v>0</v>
      </c>
      <c r="AE11" s="175">
        <f t="shared" si="8"/>
        <v>13420.600000000006</v>
      </c>
    </row>
    <row r="12" spans="1:31" ht="44.25" customHeight="1">
      <c r="A12" s="4" t="s">
        <v>32</v>
      </c>
      <c r="B12" s="28">
        <f t="shared" ref="B12" si="9">SUM(C12:E12)</f>
        <v>2597.8000000000002</v>
      </c>
      <c r="C12" s="5">
        <f>'Финансовый отдел'!C8</f>
        <v>2597.8000000000002</v>
      </c>
      <c r="D12" s="5">
        <f>'Финансовый отдел'!D8</f>
        <v>0</v>
      </c>
      <c r="E12" s="5"/>
      <c r="F12" s="28"/>
      <c r="G12" s="5"/>
      <c r="H12" s="5"/>
      <c r="I12" s="5"/>
      <c r="J12" s="28"/>
      <c r="K12" s="5"/>
      <c r="L12" s="5"/>
      <c r="M12" s="5"/>
      <c r="N12" s="28"/>
      <c r="O12" s="29"/>
      <c r="P12" s="29"/>
      <c r="Q12" s="29"/>
      <c r="R12" s="15"/>
      <c r="S12" s="173">
        <f>'Финансовый отдел'!S8</f>
        <v>4702.3</v>
      </c>
      <c r="T12" s="175">
        <f>'Финансовый отдел'!T8</f>
        <v>4232</v>
      </c>
      <c r="U12" s="175">
        <f>'Финансовый отдел'!U8</f>
        <v>0</v>
      </c>
      <c r="V12" s="175">
        <f>'Финансовый отдел'!V8</f>
        <v>0</v>
      </c>
      <c r="W12" s="175"/>
      <c r="X12" s="175">
        <f>'Финансовый отдел'!X6</f>
        <v>0</v>
      </c>
      <c r="Y12" s="175">
        <f t="shared" si="6"/>
        <v>4702.3</v>
      </c>
      <c r="Z12" s="180">
        <f t="shared" si="4"/>
        <v>2104.5</v>
      </c>
      <c r="AA12" s="173">
        <f t="shared" si="7"/>
        <v>5060.6000000000004</v>
      </c>
      <c r="AB12" s="175">
        <f>'Финансовый отдел'!AB8+'Финансовый отдел'!AA9</f>
        <v>5060.6000000000004</v>
      </c>
      <c r="AC12" s="175"/>
      <c r="AD12" s="175"/>
      <c r="AE12" s="175">
        <f t="shared" si="8"/>
        <v>358.30000000000018</v>
      </c>
    </row>
    <row r="13" spans="1:31" ht="15.75" hidden="1">
      <c r="A13" s="4"/>
      <c r="B13" s="7"/>
      <c r="C13" s="6"/>
      <c r="D13" s="6"/>
      <c r="E13" s="6"/>
      <c r="F13" s="43"/>
      <c r="G13" s="43"/>
      <c r="H13" s="43"/>
      <c r="I13" s="43"/>
      <c r="J13" s="98"/>
      <c r="K13" s="98"/>
      <c r="L13" s="98"/>
      <c r="M13" s="98"/>
      <c r="N13" s="7"/>
      <c r="O13" s="13"/>
      <c r="P13" s="6"/>
      <c r="Q13" s="6"/>
      <c r="R13" s="7"/>
    </row>
    <row r="14" spans="1:31" s="18" customFormat="1" ht="15.75" hidden="1">
      <c r="A14" s="4"/>
      <c r="B14" s="17"/>
      <c r="C14" s="16"/>
      <c r="D14" s="16"/>
      <c r="E14" s="16" t="s">
        <v>68</v>
      </c>
      <c r="F14" s="43"/>
      <c r="G14" s="43"/>
      <c r="H14" s="43"/>
      <c r="I14" s="43"/>
      <c r="J14" s="98"/>
      <c r="K14" s="98"/>
      <c r="L14" s="98"/>
      <c r="M14" s="98"/>
      <c r="N14" s="17" t="s">
        <v>37</v>
      </c>
      <c r="O14" s="13"/>
      <c r="P14" s="16"/>
      <c r="Q14" s="16"/>
      <c r="R14" s="17"/>
      <c r="W14" s="46"/>
      <c r="X14" s="46"/>
    </row>
    <row r="15" spans="1:31" ht="15.75" hidden="1">
      <c r="A15" s="4"/>
      <c r="B15" s="7"/>
      <c r="C15" s="6"/>
      <c r="D15" s="6"/>
      <c r="E15" s="6" t="s">
        <v>67</v>
      </c>
      <c r="F15" s="43"/>
      <c r="G15" s="43"/>
      <c r="H15" s="43"/>
      <c r="I15" s="43"/>
      <c r="J15" s="98"/>
      <c r="K15" s="98"/>
      <c r="L15" s="98"/>
      <c r="M15" s="98"/>
      <c r="N15" s="7" t="s">
        <v>37</v>
      </c>
      <c r="O15" s="13"/>
      <c r="P15" s="6"/>
      <c r="Q15" s="6"/>
      <c r="R15" s="7"/>
    </row>
    <row r="16" spans="1:31" ht="15.75" hidden="1">
      <c r="A16" s="4"/>
      <c r="B16" s="7"/>
      <c r="C16" s="6"/>
      <c r="D16" s="6"/>
      <c r="E16" s="6"/>
      <c r="F16" s="43"/>
      <c r="G16" s="43"/>
      <c r="H16" s="43"/>
      <c r="I16" s="43"/>
      <c r="J16" s="98"/>
      <c r="K16" s="98"/>
      <c r="L16" s="98"/>
      <c r="M16" s="98"/>
      <c r="N16" s="7" t="s">
        <v>38</v>
      </c>
      <c r="O16" s="13"/>
      <c r="P16" s="207" t="s">
        <v>89</v>
      </c>
      <c r="Q16" s="208"/>
      <c r="R16" s="209"/>
    </row>
    <row r="17" spans="1:18" ht="15.75" hidden="1">
      <c r="A17" s="4"/>
      <c r="B17" s="7"/>
      <c r="C17" s="5"/>
      <c r="D17" s="6"/>
      <c r="E17" s="6"/>
      <c r="F17" s="43"/>
      <c r="G17" s="43"/>
      <c r="H17" s="43"/>
      <c r="I17" s="43"/>
      <c r="J17" s="98"/>
      <c r="K17" s="98"/>
      <c r="L17" s="98"/>
      <c r="M17" s="98"/>
      <c r="N17" s="7" t="s">
        <v>39</v>
      </c>
      <c r="O17" s="13"/>
      <c r="P17" s="6"/>
      <c r="Q17" s="6"/>
      <c r="R17" s="7"/>
    </row>
    <row r="18" spans="1:18" ht="15.75" hidden="1">
      <c r="A18" s="4"/>
      <c r="B18" s="7"/>
      <c r="C18" s="6"/>
      <c r="D18" s="6"/>
      <c r="E18" s="6"/>
      <c r="F18" s="43"/>
      <c r="G18" s="43"/>
      <c r="H18" s="43"/>
      <c r="I18" s="43"/>
      <c r="J18" s="98"/>
      <c r="K18" s="98"/>
      <c r="L18" s="98"/>
      <c r="M18" s="98"/>
      <c r="N18" s="7" t="s">
        <v>40</v>
      </c>
      <c r="O18" s="13"/>
      <c r="P18" s="6"/>
      <c r="Q18" s="6"/>
      <c r="R18" s="7"/>
    </row>
    <row r="19" spans="1:18" ht="15.75" hidden="1">
      <c r="A19" s="4"/>
      <c r="B19" s="7"/>
      <c r="C19" s="6"/>
      <c r="D19" s="6"/>
      <c r="E19" s="6"/>
      <c r="F19" s="43"/>
      <c r="G19" s="43"/>
      <c r="H19" s="43"/>
      <c r="I19" s="43"/>
      <c r="J19" s="98"/>
      <c r="K19" s="98"/>
      <c r="L19" s="98"/>
      <c r="M19" s="98"/>
      <c r="N19" s="7" t="s">
        <v>49</v>
      </c>
      <c r="O19" s="13"/>
      <c r="P19" s="6"/>
      <c r="Q19" s="6"/>
      <c r="R19" s="7"/>
    </row>
    <row r="20" spans="1:18" hidden="1"/>
    <row r="21" spans="1:18" ht="15.75">
      <c r="E21" s="39"/>
      <c r="F21" s="39"/>
      <c r="G21" s="39"/>
      <c r="H21" s="39"/>
      <c r="I21" s="39"/>
      <c r="J21" s="39"/>
      <c r="K21" s="39"/>
      <c r="L21" s="39"/>
      <c r="M21" s="39"/>
      <c r="N21" s="38"/>
    </row>
    <row r="22" spans="1:18">
      <c r="E22" s="36"/>
    </row>
    <row r="23" spans="1:18" ht="15.75">
      <c r="O23" s="170" t="s">
        <v>126</v>
      </c>
      <c r="P23" s="46"/>
    </row>
    <row r="24" spans="1:18">
      <c r="C24" s="202" t="s">
        <v>82</v>
      </c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4"/>
      <c r="O24" s="42">
        <f>156990.5+19076.1+535</f>
        <v>176601.60000000001</v>
      </c>
      <c r="P24" s="41"/>
      <c r="Q24" s="46" t="s">
        <v>174</v>
      </c>
    </row>
    <row r="25" spans="1:18">
      <c r="C25" s="202" t="s">
        <v>83</v>
      </c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4"/>
      <c r="O25" s="42">
        <f>AA6</f>
        <v>198053.80000000002</v>
      </c>
      <c r="P25" s="41"/>
      <c r="Q25" s="46"/>
    </row>
    <row r="26" spans="1:18">
      <c r="C26" s="202" t="s">
        <v>84</v>
      </c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4"/>
      <c r="O26" s="154">
        <f>'Муниципальные программы'!N6/1000</f>
        <v>897.625</v>
      </c>
      <c r="P26" s="41"/>
      <c r="Q26" s="46"/>
    </row>
    <row r="27" spans="1:18">
      <c r="C27" s="202" t="s">
        <v>110</v>
      </c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4"/>
      <c r="O27" s="168">
        <f>O25+O26</f>
        <v>198951.42500000002</v>
      </c>
      <c r="P27" s="41"/>
      <c r="Q27" s="169"/>
    </row>
    <row r="28" spans="1:18">
      <c r="C28" s="202" t="s">
        <v>85</v>
      </c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4"/>
      <c r="O28" s="138">
        <f>O24-O27</f>
        <v>-22349.825000000012</v>
      </c>
      <c r="P28" s="41"/>
    </row>
    <row r="29" spans="1:18">
      <c r="C29" s="202" t="s">
        <v>86</v>
      </c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4"/>
      <c r="O29" s="41"/>
      <c r="P29" s="10"/>
    </row>
    <row r="30" spans="1:18">
      <c r="K30" s="46" t="s">
        <v>103</v>
      </c>
      <c r="L30" s="46" t="s">
        <v>102</v>
      </c>
    </row>
    <row r="31" spans="1:18">
      <c r="A31" s="46"/>
      <c r="F31" s="46" t="s">
        <v>164</v>
      </c>
    </row>
    <row r="32" spans="1:18">
      <c r="F32" s="46" t="s">
        <v>165</v>
      </c>
    </row>
    <row r="33" spans="6:14">
      <c r="F33" s="46"/>
      <c r="N33" s="39"/>
    </row>
  </sheetData>
  <mergeCells count="31">
    <mergeCell ref="AA3:AA5"/>
    <mergeCell ref="AB3:AD3"/>
    <mergeCell ref="AE3:AE5"/>
    <mergeCell ref="AB4:AD4"/>
    <mergeCell ref="A1:R1"/>
    <mergeCell ref="A3:A5"/>
    <mergeCell ref="B3:E3"/>
    <mergeCell ref="N3:P3"/>
    <mergeCell ref="R3:R5"/>
    <mergeCell ref="B4:B5"/>
    <mergeCell ref="C4:E4"/>
    <mergeCell ref="N4:N5"/>
    <mergeCell ref="O4:P4"/>
    <mergeCell ref="F3:I3"/>
    <mergeCell ref="F4:F5"/>
    <mergeCell ref="G4:I4"/>
    <mergeCell ref="J3:M3"/>
    <mergeCell ref="J4:J5"/>
    <mergeCell ref="K4:M4"/>
    <mergeCell ref="P16:R16"/>
    <mergeCell ref="C28:N28"/>
    <mergeCell ref="C29:N29"/>
    <mergeCell ref="C24:N24"/>
    <mergeCell ref="C25:N25"/>
    <mergeCell ref="C26:N26"/>
    <mergeCell ref="C27:N27"/>
    <mergeCell ref="Z3:Z5"/>
    <mergeCell ref="S3:S5"/>
    <mergeCell ref="T3:V3"/>
    <mergeCell ref="Y3:Y5"/>
    <mergeCell ref="T4:V4"/>
  </mergeCells>
  <pageMargins left="0.35433070866141736" right="0.15748031496062992" top="0.31496062992125984" bottom="0.19685039370078741" header="0.31496062992125984" footer="0.23622047244094491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1"/>
  <sheetViews>
    <sheetView view="pageBreakPreview" zoomScale="75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B18" sqref="AB18"/>
    </sheetView>
  </sheetViews>
  <sheetFormatPr defaultRowHeight="15"/>
  <cols>
    <col min="1" max="1" width="21.85546875" style="62" customWidth="1"/>
    <col min="2" max="2" width="11.140625" style="62" hidden="1" customWidth="1"/>
    <col min="3" max="5" width="9.140625" style="62" hidden="1" customWidth="1"/>
    <col min="6" max="6" width="13" style="62" hidden="1" customWidth="1"/>
    <col min="7" max="7" width="12.140625" style="62" hidden="1" customWidth="1"/>
    <col min="8" max="8" width="9.28515625" style="62" hidden="1" customWidth="1"/>
    <col min="9" max="9" width="9.140625" style="62" hidden="1" customWidth="1"/>
    <col min="10" max="10" width="11.5703125" style="62" hidden="1" customWidth="1"/>
    <col min="11" max="11" width="10.85546875" style="62" hidden="1" customWidth="1"/>
    <col min="12" max="12" width="9.140625" style="62" hidden="1" customWidth="1"/>
    <col min="13" max="13" width="10.7109375" style="62" hidden="1" customWidth="1"/>
    <col min="14" max="14" width="10.5703125" style="62" hidden="1" customWidth="1"/>
    <col min="15" max="15" width="11.7109375" style="62" hidden="1" customWidth="1"/>
    <col min="16" max="16" width="12" style="62" hidden="1" customWidth="1"/>
    <col min="17" max="17" width="11.7109375" style="62" hidden="1" customWidth="1"/>
    <col min="18" max="18" width="10.7109375" style="62" hidden="1" customWidth="1"/>
    <col min="19" max="19" width="14" style="62" customWidth="1"/>
    <col min="20" max="20" width="10.7109375" style="62" hidden="1" customWidth="1"/>
    <col min="21" max="21" width="11.42578125" style="62" hidden="1" customWidth="1"/>
    <col min="22" max="22" width="8.7109375" style="62" hidden="1" customWidth="1"/>
    <col min="23" max="24" width="11.5703125" style="62" hidden="1" customWidth="1"/>
    <col min="25" max="25" width="10.42578125" style="62" hidden="1" customWidth="1"/>
    <col min="26" max="26" width="9.28515625" style="62" hidden="1" customWidth="1"/>
    <col min="27" max="27" width="10.7109375" style="62" customWidth="1"/>
    <col min="28" max="30" width="9.140625" style="62" customWidth="1"/>
    <col min="31" max="16384" width="9.140625" style="62"/>
  </cols>
  <sheetData>
    <row r="1" spans="1:33" ht="36.75" customHeight="1">
      <c r="A1" s="220" t="s">
        <v>44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</row>
    <row r="3" spans="1:33" ht="15.75" customHeight="1">
      <c r="A3" s="205" t="s">
        <v>0</v>
      </c>
      <c r="B3" s="205" t="s">
        <v>1</v>
      </c>
      <c r="C3" s="205"/>
      <c r="D3" s="205"/>
      <c r="E3" s="205"/>
      <c r="F3" s="205" t="s">
        <v>2</v>
      </c>
      <c r="G3" s="205"/>
      <c r="H3" s="205"/>
      <c r="I3" s="205"/>
      <c r="J3" s="207" t="s">
        <v>64</v>
      </c>
      <c r="K3" s="208"/>
      <c r="L3" s="208"/>
      <c r="M3" s="209"/>
      <c r="N3" s="205" t="s">
        <v>90</v>
      </c>
      <c r="O3" s="205"/>
      <c r="P3" s="205"/>
      <c r="Q3" s="205"/>
      <c r="R3" s="216" t="s">
        <v>3</v>
      </c>
      <c r="S3" s="217" t="s">
        <v>138</v>
      </c>
      <c r="T3" s="214" t="s">
        <v>136</v>
      </c>
      <c r="U3" s="215"/>
      <c r="V3" s="215"/>
      <c r="W3" s="120"/>
      <c r="X3" s="120"/>
      <c r="Y3" s="216" t="s">
        <v>3</v>
      </c>
      <c r="Z3" s="211" t="s">
        <v>91</v>
      </c>
      <c r="AA3" s="217" t="s">
        <v>159</v>
      </c>
      <c r="AB3" s="214" t="s">
        <v>137</v>
      </c>
      <c r="AC3" s="215"/>
      <c r="AD3" s="215"/>
      <c r="AE3" s="200" t="s">
        <v>3</v>
      </c>
    </row>
    <row r="4" spans="1:33" ht="15.75" customHeight="1">
      <c r="A4" s="205"/>
      <c r="B4" s="206" t="s">
        <v>43</v>
      </c>
      <c r="C4" s="205" t="s">
        <v>4</v>
      </c>
      <c r="D4" s="205"/>
      <c r="E4" s="205"/>
      <c r="F4" s="206" t="s">
        <v>87</v>
      </c>
      <c r="G4" s="205" t="s">
        <v>4</v>
      </c>
      <c r="H4" s="205"/>
      <c r="I4" s="205"/>
      <c r="J4" s="206" t="s">
        <v>97</v>
      </c>
      <c r="K4" s="205" t="s">
        <v>4</v>
      </c>
      <c r="L4" s="205"/>
      <c r="M4" s="205"/>
      <c r="N4" s="206" t="s">
        <v>106</v>
      </c>
      <c r="O4" s="205" t="s">
        <v>4</v>
      </c>
      <c r="P4" s="205"/>
      <c r="Q4" s="205"/>
      <c r="R4" s="216"/>
      <c r="S4" s="218"/>
      <c r="T4" s="205" t="s">
        <v>4</v>
      </c>
      <c r="U4" s="205"/>
      <c r="V4" s="205"/>
      <c r="W4" s="118"/>
      <c r="X4" s="118"/>
      <c r="Y4" s="216"/>
      <c r="Z4" s="212"/>
      <c r="AA4" s="218"/>
      <c r="AB4" s="205" t="s">
        <v>4</v>
      </c>
      <c r="AC4" s="205"/>
      <c r="AD4" s="205"/>
      <c r="AE4" s="200"/>
    </row>
    <row r="5" spans="1:33" ht="87.75" customHeight="1">
      <c r="A5" s="205"/>
      <c r="B5" s="206"/>
      <c r="C5" s="49" t="s">
        <v>5</v>
      </c>
      <c r="D5" s="49" t="s">
        <v>6</v>
      </c>
      <c r="E5" s="49" t="s">
        <v>7</v>
      </c>
      <c r="F5" s="206"/>
      <c r="G5" s="49" t="s">
        <v>5</v>
      </c>
      <c r="H5" s="49" t="s">
        <v>6</v>
      </c>
      <c r="I5" s="49" t="s">
        <v>7</v>
      </c>
      <c r="J5" s="206"/>
      <c r="K5" s="98" t="s">
        <v>5</v>
      </c>
      <c r="L5" s="98" t="s">
        <v>6</v>
      </c>
      <c r="M5" s="98" t="s">
        <v>7</v>
      </c>
      <c r="N5" s="206"/>
      <c r="O5" s="49" t="s">
        <v>5</v>
      </c>
      <c r="P5" s="118" t="s">
        <v>6</v>
      </c>
      <c r="Q5" s="49" t="s">
        <v>7</v>
      </c>
      <c r="R5" s="216"/>
      <c r="S5" s="219"/>
      <c r="T5" s="49" t="s">
        <v>5</v>
      </c>
      <c r="U5" s="30" t="s">
        <v>98</v>
      </c>
      <c r="V5" s="49" t="s">
        <v>7</v>
      </c>
      <c r="W5" s="30" t="s">
        <v>98</v>
      </c>
      <c r="X5" s="118" t="s">
        <v>6</v>
      </c>
      <c r="Y5" s="216"/>
      <c r="Z5" s="213"/>
      <c r="AA5" s="219"/>
      <c r="AB5" s="118" t="s">
        <v>5</v>
      </c>
      <c r="AC5" s="158" t="s">
        <v>127</v>
      </c>
      <c r="AD5" s="118" t="s">
        <v>7</v>
      </c>
      <c r="AE5" s="200"/>
    </row>
    <row r="6" spans="1:33" ht="27" customHeight="1">
      <c r="A6" s="48" t="s">
        <v>8</v>
      </c>
      <c r="B6" s="48">
        <f>SUM(B7:B22)</f>
        <v>38184.69999999999</v>
      </c>
      <c r="C6" s="48">
        <f>SUM(C7:C22)</f>
        <v>37359.9</v>
      </c>
      <c r="D6" s="48">
        <f t="shared" ref="D6:E6" si="0">SUM(D7:D22)</f>
        <v>306.89999999999998</v>
      </c>
      <c r="E6" s="48">
        <f t="shared" si="0"/>
        <v>517.9</v>
      </c>
      <c r="F6" s="48">
        <f>SUM(F7:F22)</f>
        <v>39958.700000000004</v>
      </c>
      <c r="G6" s="48">
        <f>SUM(G7:G22)</f>
        <v>39157.9</v>
      </c>
      <c r="H6" s="48">
        <f t="shared" ref="H6:I6" si="1">SUM(H7:H22)</f>
        <v>448.8</v>
      </c>
      <c r="I6" s="48">
        <f t="shared" si="1"/>
        <v>352</v>
      </c>
      <c r="J6" s="28">
        <f>SUM(J7:J24)</f>
        <v>42611.19999999999</v>
      </c>
      <c r="K6" s="28">
        <f>SUM(K7:K24)</f>
        <v>39883</v>
      </c>
      <c r="L6" s="28">
        <f t="shared" ref="L6:M6" si="2">SUM(L7:L24)</f>
        <v>2669.9</v>
      </c>
      <c r="M6" s="28">
        <f t="shared" si="2"/>
        <v>58.3</v>
      </c>
      <c r="N6" s="28">
        <f>SUM(N7:N24)</f>
        <v>47714.100000000006</v>
      </c>
      <c r="O6" s="48">
        <f>SUM(O7:O23)</f>
        <v>45067.9</v>
      </c>
      <c r="P6" s="92">
        <f>SUM(P7:P23)</f>
        <v>2511.8000000000002</v>
      </c>
      <c r="Q6" s="48">
        <f>SUM(Q7:Q23)</f>
        <v>134.4</v>
      </c>
      <c r="R6" s="51">
        <f t="shared" ref="R6" si="3">SUM(R7:R23)</f>
        <v>9529.4</v>
      </c>
      <c r="S6" s="48">
        <f>SUM(S7:S23)</f>
        <v>57293.600000000006</v>
      </c>
      <c r="T6" s="141">
        <f>SUM(T7:T23)</f>
        <v>58247.6</v>
      </c>
      <c r="U6" s="48">
        <f>SUM(U7:U23)</f>
        <v>0</v>
      </c>
      <c r="V6" s="48">
        <f>SUM(V7:V23)</f>
        <v>0</v>
      </c>
      <c r="W6" s="119"/>
      <c r="X6" s="119"/>
      <c r="Y6" s="131">
        <f t="shared" ref="Y6:Y23" si="4">S6-N6</f>
        <v>9579.5</v>
      </c>
      <c r="Z6" s="126">
        <f>SUM(Z7:Z23)</f>
        <v>19108.900000000001</v>
      </c>
      <c r="AA6" s="119">
        <f>SUM(AA7:AA24)</f>
        <v>63065.000000000007</v>
      </c>
      <c r="AB6" s="119">
        <f>SUM(AB7:AB24)</f>
        <v>63065.000000000007</v>
      </c>
      <c r="AC6" s="119">
        <f>SUM(AC7:AC23)</f>
        <v>0</v>
      </c>
      <c r="AD6" s="119">
        <f>SUM(AD7:AD23)</f>
        <v>0</v>
      </c>
      <c r="AE6" s="176">
        <f>AA6-S6</f>
        <v>5771.4000000000015</v>
      </c>
    </row>
    <row r="7" spans="1:33" ht="24.75" customHeight="1">
      <c r="A7" s="4" t="s">
        <v>9</v>
      </c>
      <c r="B7" s="48">
        <f>SUM(C7:E7)</f>
        <v>1236</v>
      </c>
      <c r="C7" s="49">
        <v>1236</v>
      </c>
      <c r="D7" s="49"/>
      <c r="E7" s="49"/>
      <c r="F7" s="48">
        <f>SUM(G7:I7)</f>
        <v>1292.0999999999999</v>
      </c>
      <c r="G7" s="49">
        <v>1292.0999999999999</v>
      </c>
      <c r="H7" s="49"/>
      <c r="I7" s="49"/>
      <c r="J7" s="28">
        <f t="shared" ref="J7:J23" si="5">SUM(K7:M7)</f>
        <v>1333.3</v>
      </c>
      <c r="K7" s="5">
        <v>1333.3</v>
      </c>
      <c r="L7" s="5"/>
      <c r="M7" s="5"/>
      <c r="N7" s="28">
        <f>SUM(O7:Q7)</f>
        <v>1387</v>
      </c>
      <c r="O7" s="13">
        <v>1387</v>
      </c>
      <c r="P7" s="30"/>
      <c r="Q7" s="49"/>
      <c r="R7" s="51">
        <f t="shared" ref="R7:R23" si="6">N7-B7</f>
        <v>151</v>
      </c>
      <c r="S7" s="119">
        <v>1707</v>
      </c>
      <c r="T7" s="140">
        <v>1595</v>
      </c>
      <c r="U7" s="49"/>
      <c r="V7" s="23"/>
      <c r="W7" s="23"/>
      <c r="X7" s="23"/>
      <c r="Y7" s="53">
        <f t="shared" si="4"/>
        <v>320</v>
      </c>
      <c r="Z7" s="127">
        <f t="shared" ref="Z7:Z23" si="7">S7-B7</f>
        <v>471</v>
      </c>
      <c r="AA7" s="119">
        <f>SUM(AB7:AD7)</f>
        <v>1826.4</v>
      </c>
      <c r="AB7" s="118">
        <v>1826.4</v>
      </c>
      <c r="AC7" s="118"/>
      <c r="AD7" s="23"/>
      <c r="AE7" s="176">
        <f t="shared" ref="AE7:AE24" si="8">AA7-S7</f>
        <v>119.40000000000009</v>
      </c>
      <c r="AF7" s="62" t="s">
        <v>171</v>
      </c>
    </row>
    <row r="8" spans="1:33" ht="31.5">
      <c r="A8" s="4" t="s">
        <v>10</v>
      </c>
      <c r="B8" s="48">
        <f t="shared" ref="B8:B22" si="9">SUM(C8:E8)</f>
        <v>16004.5</v>
      </c>
      <c r="C8" s="40">
        <v>15979.7</v>
      </c>
      <c r="D8" s="40"/>
      <c r="E8" s="40">
        <v>24.8</v>
      </c>
      <c r="F8" s="48">
        <f t="shared" ref="F8:F23" si="10">SUM(G8:I8)</f>
        <v>16694.100000000002</v>
      </c>
      <c r="G8" s="40">
        <v>16676.2</v>
      </c>
      <c r="H8" s="40"/>
      <c r="I8" s="40">
        <v>17.899999999999999</v>
      </c>
      <c r="J8" s="28">
        <f t="shared" si="5"/>
        <v>19318.099999999999</v>
      </c>
      <c r="K8" s="103">
        <v>19281.599999999999</v>
      </c>
      <c r="L8" s="103"/>
      <c r="M8" s="103">
        <v>36.5</v>
      </c>
      <c r="N8" s="28">
        <f t="shared" ref="N8:N23" si="11">SUM(O8:Q8)</f>
        <v>21418.2</v>
      </c>
      <c r="O8" s="13">
        <v>21368.2</v>
      </c>
      <c r="P8" s="30"/>
      <c r="Q8" s="115">
        <v>50</v>
      </c>
      <c r="R8" s="51">
        <f t="shared" si="6"/>
        <v>5413.7000000000007</v>
      </c>
      <c r="S8" s="119">
        <v>26216.799999999999</v>
      </c>
      <c r="T8" s="140">
        <f>22263.9+2184.8+67.6</f>
        <v>24516.3</v>
      </c>
      <c r="U8" s="49"/>
      <c r="V8" s="23"/>
      <c r="W8" s="23"/>
      <c r="X8" s="23"/>
      <c r="Y8" s="53">
        <f t="shared" si="4"/>
        <v>4798.5999999999985</v>
      </c>
      <c r="Z8" s="127">
        <f t="shared" si="7"/>
        <v>10212.299999999999</v>
      </c>
      <c r="AA8" s="119">
        <f t="shared" ref="AA8:AA24" si="12">SUM(AB8:AD8)</f>
        <v>28085.599999999999</v>
      </c>
      <c r="AB8" s="118">
        <f>27885.6+200</f>
        <v>28085.599999999999</v>
      </c>
      <c r="AC8" s="118"/>
      <c r="AD8" s="23"/>
      <c r="AE8" s="176">
        <f t="shared" si="8"/>
        <v>1868.7999999999993</v>
      </c>
      <c r="AF8" s="62" t="s">
        <v>171</v>
      </c>
    </row>
    <row r="9" spans="1:33" ht="15.75">
      <c r="A9" s="4" t="s">
        <v>11</v>
      </c>
      <c r="B9" s="48">
        <f t="shared" si="9"/>
        <v>114.3</v>
      </c>
      <c r="C9" s="40">
        <v>114.3</v>
      </c>
      <c r="D9" s="40"/>
      <c r="E9" s="40"/>
      <c r="F9" s="48">
        <f t="shared" si="10"/>
        <v>60</v>
      </c>
      <c r="G9" s="40">
        <v>60</v>
      </c>
      <c r="H9" s="40"/>
      <c r="I9" s="40"/>
      <c r="J9" s="28">
        <f t="shared" si="5"/>
        <v>120</v>
      </c>
      <c r="K9" s="103">
        <v>120</v>
      </c>
      <c r="L9" s="103"/>
      <c r="M9" s="103"/>
      <c r="N9" s="28">
        <f t="shared" si="11"/>
        <v>180</v>
      </c>
      <c r="O9" s="13">
        <v>180</v>
      </c>
      <c r="P9" s="30"/>
      <c r="Q9" s="49"/>
      <c r="R9" s="51">
        <f t="shared" si="6"/>
        <v>65.7</v>
      </c>
      <c r="S9" s="119">
        <f t="shared" ref="S9:S14" si="13">T9+V9+X9</f>
        <v>100</v>
      </c>
      <c r="T9" s="140">
        <v>100</v>
      </c>
      <c r="U9" s="49"/>
      <c r="V9" s="23"/>
      <c r="W9" s="23"/>
      <c r="X9" s="23"/>
      <c r="Y9" s="53">
        <f t="shared" si="4"/>
        <v>-80</v>
      </c>
      <c r="Z9" s="127">
        <f t="shared" si="7"/>
        <v>-14.299999999999997</v>
      </c>
      <c r="AA9" s="119">
        <f t="shared" si="12"/>
        <v>100</v>
      </c>
      <c r="AB9" s="118">
        <v>100</v>
      </c>
      <c r="AC9" s="118"/>
      <c r="AD9" s="23"/>
      <c r="AE9" s="176">
        <f t="shared" si="8"/>
        <v>0</v>
      </c>
    </row>
    <row r="10" spans="1:33" ht="25.5" customHeight="1">
      <c r="A10" s="4" t="s">
        <v>128</v>
      </c>
      <c r="B10" s="48">
        <f t="shared" si="9"/>
        <v>3925.6</v>
      </c>
      <c r="C10" s="40">
        <v>3894.9</v>
      </c>
      <c r="D10" s="40"/>
      <c r="E10" s="40">
        <v>30.7</v>
      </c>
      <c r="F10" s="48">
        <f t="shared" si="10"/>
        <v>4022.3</v>
      </c>
      <c r="G10" s="40">
        <v>3997.3</v>
      </c>
      <c r="H10" s="40"/>
      <c r="I10" s="40">
        <v>25</v>
      </c>
      <c r="J10" s="28">
        <f t="shared" si="5"/>
        <v>4736.8999999999996</v>
      </c>
      <c r="K10" s="103">
        <v>3816.9</v>
      </c>
      <c r="L10" s="103">
        <v>920</v>
      </c>
      <c r="M10" s="103"/>
      <c r="N10" s="28">
        <f t="shared" si="11"/>
        <v>4842.5</v>
      </c>
      <c r="O10" s="13">
        <v>4842.5</v>
      </c>
      <c r="P10" s="30"/>
      <c r="Q10" s="49"/>
      <c r="R10" s="51">
        <f t="shared" si="6"/>
        <v>916.90000000000009</v>
      </c>
      <c r="S10" s="119">
        <v>7625.5</v>
      </c>
      <c r="T10" s="140">
        <f>4499.8+2311.6+65</f>
        <v>6876.4</v>
      </c>
      <c r="U10" s="49"/>
      <c r="V10" s="23"/>
      <c r="W10" s="23"/>
      <c r="X10" s="23"/>
      <c r="Y10" s="53">
        <f t="shared" si="4"/>
        <v>2783</v>
      </c>
      <c r="Z10" s="127">
        <f t="shared" si="7"/>
        <v>3699.9</v>
      </c>
      <c r="AA10" s="119">
        <f t="shared" si="12"/>
        <v>8625.4</v>
      </c>
      <c r="AB10" s="118">
        <v>8625.4</v>
      </c>
      <c r="AC10" s="118"/>
      <c r="AD10" s="23"/>
      <c r="AE10" s="176">
        <f t="shared" si="8"/>
        <v>999.89999999999964</v>
      </c>
      <c r="AF10" s="62" t="s">
        <v>149</v>
      </c>
      <c r="AG10" s="62" t="s">
        <v>150</v>
      </c>
    </row>
    <row r="11" spans="1:33" ht="33.75" customHeight="1">
      <c r="A11" s="4" t="s">
        <v>12</v>
      </c>
      <c r="B11" s="48">
        <f t="shared" si="9"/>
        <v>630.70000000000005</v>
      </c>
      <c r="C11" s="40">
        <v>630.70000000000005</v>
      </c>
      <c r="D11" s="40"/>
      <c r="E11" s="40"/>
      <c r="F11" s="48">
        <f t="shared" si="10"/>
        <v>341.3</v>
      </c>
      <c r="G11" s="40">
        <v>341.3</v>
      </c>
      <c r="H11" s="40"/>
      <c r="I11" s="40"/>
      <c r="J11" s="28">
        <f t="shared" si="5"/>
        <v>927.1</v>
      </c>
      <c r="K11" s="103">
        <f>153.5</f>
        <v>153.5</v>
      </c>
      <c r="L11" s="103">
        <f>328.6+445</f>
        <v>773.6</v>
      </c>
      <c r="M11" s="103"/>
      <c r="N11" s="28">
        <f t="shared" si="11"/>
        <v>383</v>
      </c>
      <c r="O11" s="13">
        <v>383</v>
      </c>
      <c r="P11" s="30"/>
      <c r="Q11" s="49"/>
      <c r="R11" s="51">
        <f t="shared" si="6"/>
        <v>-247.70000000000005</v>
      </c>
      <c r="S11" s="119">
        <f t="shared" si="13"/>
        <v>350</v>
      </c>
      <c r="T11" s="30">
        <v>350</v>
      </c>
      <c r="U11" s="49"/>
      <c r="V11" s="23"/>
      <c r="W11" s="23"/>
      <c r="X11" s="23"/>
      <c r="Y11" s="53">
        <f t="shared" si="4"/>
        <v>-33</v>
      </c>
      <c r="Z11" s="127">
        <f t="shared" si="7"/>
        <v>-280.70000000000005</v>
      </c>
      <c r="AA11" s="119">
        <f t="shared" si="12"/>
        <v>350</v>
      </c>
      <c r="AB11" s="30">
        <v>350</v>
      </c>
      <c r="AC11" s="118"/>
      <c r="AD11" s="23"/>
      <c r="AE11" s="176">
        <f t="shared" si="8"/>
        <v>0</v>
      </c>
    </row>
    <row r="12" spans="1:33" ht="25.5" hidden="1" customHeight="1">
      <c r="A12" s="4" t="s">
        <v>13</v>
      </c>
      <c r="B12" s="48">
        <f t="shared" si="9"/>
        <v>3433.9</v>
      </c>
      <c r="C12" s="49">
        <v>3433.9</v>
      </c>
      <c r="D12" s="49"/>
      <c r="E12" s="49"/>
      <c r="F12" s="48">
        <f t="shared" si="10"/>
        <v>4656.8999999999996</v>
      </c>
      <c r="G12" s="49">
        <v>4656.8999999999996</v>
      </c>
      <c r="H12" s="49"/>
      <c r="I12" s="49"/>
      <c r="J12" s="28">
        <f t="shared" si="5"/>
        <v>0</v>
      </c>
      <c r="K12" s="5"/>
      <c r="L12" s="5"/>
      <c r="M12" s="5"/>
      <c r="N12" s="28">
        <f t="shared" si="11"/>
        <v>0</v>
      </c>
      <c r="O12" s="13"/>
      <c r="P12" s="30"/>
      <c r="Q12" s="49"/>
      <c r="R12" s="51">
        <f t="shared" si="6"/>
        <v>-3433.9</v>
      </c>
      <c r="S12" s="119">
        <f t="shared" si="13"/>
        <v>0</v>
      </c>
      <c r="T12" s="13"/>
      <c r="U12" s="49"/>
      <c r="V12" s="23"/>
      <c r="W12" s="23"/>
      <c r="X12" s="23"/>
      <c r="Y12" s="53">
        <f t="shared" si="4"/>
        <v>0</v>
      </c>
      <c r="Z12" s="127">
        <f t="shared" si="7"/>
        <v>-3433.9</v>
      </c>
      <c r="AA12" s="119">
        <f t="shared" si="12"/>
        <v>0</v>
      </c>
      <c r="AB12" s="13"/>
      <c r="AC12" s="118"/>
      <c r="AD12" s="23"/>
      <c r="AE12" s="176">
        <f t="shared" si="8"/>
        <v>0</v>
      </c>
    </row>
    <row r="13" spans="1:33" ht="28.5" customHeight="1">
      <c r="A13" s="4" t="s">
        <v>14</v>
      </c>
      <c r="B13" s="48">
        <f t="shared" si="9"/>
        <v>111</v>
      </c>
      <c r="C13" s="49">
        <v>111</v>
      </c>
      <c r="D13" s="5"/>
      <c r="E13" s="49"/>
      <c r="F13" s="48">
        <f t="shared" si="10"/>
        <v>123.2</v>
      </c>
      <c r="G13" s="49">
        <v>123.2</v>
      </c>
      <c r="H13" s="5"/>
      <c r="I13" s="49"/>
      <c r="J13" s="28">
        <f t="shared" si="5"/>
        <v>116</v>
      </c>
      <c r="K13" s="5">
        <v>116</v>
      </c>
      <c r="L13" s="5"/>
      <c r="M13" s="5"/>
      <c r="N13" s="28">
        <f t="shared" si="11"/>
        <v>189</v>
      </c>
      <c r="O13" s="13">
        <v>189</v>
      </c>
      <c r="P13" s="30"/>
      <c r="Q13" s="49"/>
      <c r="R13" s="51">
        <f t="shared" si="6"/>
        <v>78</v>
      </c>
      <c r="S13" s="119">
        <v>110</v>
      </c>
      <c r="T13" s="140">
        <f>55+35</f>
        <v>90</v>
      </c>
      <c r="U13" s="49"/>
      <c r="V13" s="23"/>
      <c r="W13" s="23"/>
      <c r="X13" s="23"/>
      <c r="Y13" s="56">
        <f t="shared" si="4"/>
        <v>-79</v>
      </c>
      <c r="Z13" s="127">
        <f t="shared" si="7"/>
        <v>-1</v>
      </c>
      <c r="AA13" s="119">
        <f t="shared" si="12"/>
        <v>110</v>
      </c>
      <c r="AB13" s="118">
        <v>110</v>
      </c>
      <c r="AC13" s="118"/>
      <c r="AD13" s="23"/>
      <c r="AE13" s="176">
        <f t="shared" si="8"/>
        <v>0</v>
      </c>
    </row>
    <row r="14" spans="1:33" ht="29.25" hidden="1" customHeight="1">
      <c r="A14" s="4" t="s">
        <v>100</v>
      </c>
      <c r="B14" s="48">
        <f t="shared" si="9"/>
        <v>180</v>
      </c>
      <c r="C14" s="49">
        <v>180</v>
      </c>
      <c r="D14" s="49"/>
      <c r="E14" s="49"/>
      <c r="F14" s="48">
        <f t="shared" si="10"/>
        <v>180</v>
      </c>
      <c r="G14" s="49">
        <v>180</v>
      </c>
      <c r="H14" s="49"/>
      <c r="I14" s="49"/>
      <c r="J14" s="28">
        <f t="shared" si="5"/>
        <v>180</v>
      </c>
      <c r="K14" s="5">
        <v>180</v>
      </c>
      <c r="L14" s="5"/>
      <c r="M14" s="5"/>
      <c r="N14" s="28">
        <f t="shared" si="11"/>
        <v>0</v>
      </c>
      <c r="O14" s="13"/>
      <c r="P14" s="30"/>
      <c r="Q14" s="49"/>
      <c r="R14" s="51">
        <f t="shared" si="6"/>
        <v>-180</v>
      </c>
      <c r="S14" s="119">
        <f t="shared" si="13"/>
        <v>0</v>
      </c>
      <c r="T14" s="140"/>
      <c r="U14" s="49"/>
      <c r="V14" s="23"/>
      <c r="W14" s="23"/>
      <c r="X14" s="23"/>
      <c r="Y14" s="56">
        <f t="shared" si="4"/>
        <v>0</v>
      </c>
      <c r="Z14" s="127">
        <f t="shared" si="7"/>
        <v>-180</v>
      </c>
      <c r="AA14" s="119">
        <f t="shared" si="12"/>
        <v>0</v>
      </c>
      <c r="AB14" s="118"/>
      <c r="AC14" s="118"/>
      <c r="AD14" s="23"/>
      <c r="AE14" s="176">
        <f>AA14-S14</f>
        <v>0</v>
      </c>
    </row>
    <row r="15" spans="1:33" ht="28.5" customHeight="1">
      <c r="A15" s="4" t="s">
        <v>15</v>
      </c>
      <c r="B15" s="48">
        <f t="shared" si="9"/>
        <v>2600.1</v>
      </c>
      <c r="C15" s="49">
        <f>2545.3+46.7</f>
        <v>2592</v>
      </c>
      <c r="D15" s="49"/>
      <c r="E15" s="49">
        <v>8.1</v>
      </c>
      <c r="F15" s="48">
        <f t="shared" si="10"/>
        <v>1954.6000000000001</v>
      </c>
      <c r="G15" s="49">
        <v>1946.2</v>
      </c>
      <c r="H15" s="49"/>
      <c r="I15" s="49">
        <v>8.4</v>
      </c>
      <c r="J15" s="28">
        <f t="shared" si="5"/>
        <v>2012.9</v>
      </c>
      <c r="K15" s="5">
        <v>2012.9</v>
      </c>
      <c r="L15" s="5"/>
      <c r="M15" s="5"/>
      <c r="N15" s="28">
        <f t="shared" si="11"/>
        <v>2776.5</v>
      </c>
      <c r="O15" s="13">
        <v>2774.5</v>
      </c>
      <c r="P15" s="30"/>
      <c r="Q15" s="49">
        <v>2</v>
      </c>
      <c r="R15" s="51">
        <f t="shared" si="6"/>
        <v>176.40000000000009</v>
      </c>
      <c r="S15" s="119">
        <v>830</v>
      </c>
      <c r="T15" s="140">
        <f>10+750</f>
        <v>760</v>
      </c>
      <c r="U15" s="49"/>
      <c r="V15" s="23"/>
      <c r="W15" s="23"/>
      <c r="X15" s="23"/>
      <c r="Y15" s="56">
        <f t="shared" si="4"/>
        <v>-1946.5</v>
      </c>
      <c r="Z15" s="127">
        <f t="shared" si="7"/>
        <v>-1770.1</v>
      </c>
      <c r="AA15" s="119">
        <f t="shared" si="12"/>
        <v>930</v>
      </c>
      <c r="AB15" s="188">
        <f>830+90+10</f>
        <v>930</v>
      </c>
      <c r="AC15" s="118"/>
      <c r="AD15" s="23"/>
      <c r="AE15" s="176">
        <f t="shared" si="8"/>
        <v>100</v>
      </c>
    </row>
    <row r="16" spans="1:33" ht="27" customHeight="1">
      <c r="A16" s="4" t="s">
        <v>16</v>
      </c>
      <c r="B16" s="48">
        <f t="shared" si="9"/>
        <v>0</v>
      </c>
      <c r="C16" s="49"/>
      <c r="D16" s="49"/>
      <c r="E16" s="49"/>
      <c r="F16" s="48">
        <f t="shared" si="10"/>
        <v>0</v>
      </c>
      <c r="G16" s="49"/>
      <c r="H16" s="49"/>
      <c r="I16" s="49"/>
      <c r="J16" s="28">
        <f t="shared" si="5"/>
        <v>0</v>
      </c>
      <c r="K16" s="5"/>
      <c r="L16" s="5"/>
      <c r="M16" s="5"/>
      <c r="N16" s="28">
        <f t="shared" si="11"/>
        <v>2077.6999999999998</v>
      </c>
      <c r="O16" s="13">
        <v>2077.6999999999998</v>
      </c>
      <c r="P16" s="30"/>
      <c r="Q16" s="49"/>
      <c r="R16" s="51">
        <f t="shared" si="6"/>
        <v>2077.6999999999998</v>
      </c>
      <c r="S16" s="119">
        <v>614.4</v>
      </c>
      <c r="T16" s="30">
        <f>125.5+719.2</f>
        <v>844.7</v>
      </c>
      <c r="U16" s="49"/>
      <c r="V16" s="23"/>
      <c r="W16" s="23"/>
      <c r="X16" s="23"/>
      <c r="Y16" s="56">
        <f t="shared" si="4"/>
        <v>-1463.2999999999997</v>
      </c>
      <c r="Z16" s="127">
        <f t="shared" si="7"/>
        <v>614.4</v>
      </c>
      <c r="AA16" s="119">
        <f t="shared" si="12"/>
        <v>841.3</v>
      </c>
      <c r="AB16" s="13">
        <f>697.8+143.5</f>
        <v>841.3</v>
      </c>
      <c r="AC16" s="118"/>
      <c r="AD16" s="23"/>
      <c r="AE16" s="176">
        <f t="shared" si="8"/>
        <v>226.89999999999998</v>
      </c>
    </row>
    <row r="17" spans="1:32" ht="41.25" hidden="1" customHeight="1">
      <c r="A17" s="4" t="s">
        <v>17</v>
      </c>
      <c r="B17" s="48">
        <f t="shared" si="9"/>
        <v>44.6</v>
      </c>
      <c r="C17" s="5"/>
      <c r="D17" s="49"/>
      <c r="E17" s="49">
        <f>44.6</f>
        <v>44.6</v>
      </c>
      <c r="F17" s="48">
        <f t="shared" si="10"/>
        <v>904.7</v>
      </c>
      <c r="G17" s="5">
        <v>491.8</v>
      </c>
      <c r="H17" s="49">
        <v>372.8</v>
      </c>
      <c r="I17" s="49">
        <v>40.1</v>
      </c>
      <c r="J17" s="28">
        <f t="shared" si="5"/>
        <v>93.1</v>
      </c>
      <c r="K17" s="5">
        <v>93.1</v>
      </c>
      <c r="L17" s="5"/>
      <c r="M17" s="5">
        <v>0</v>
      </c>
      <c r="N17" s="28">
        <f t="shared" si="11"/>
        <v>2587.9</v>
      </c>
      <c r="O17" s="13">
        <v>97.1</v>
      </c>
      <c r="P17" s="30">
        <v>2469.8000000000002</v>
      </c>
      <c r="Q17" s="49">
        <v>21</v>
      </c>
      <c r="R17" s="51">
        <f t="shared" si="6"/>
        <v>2543.3000000000002</v>
      </c>
      <c r="S17" s="119"/>
      <c r="T17" s="62">
        <v>4135</v>
      </c>
      <c r="U17" s="49"/>
      <c r="W17" s="23"/>
      <c r="X17" s="23"/>
      <c r="Y17" s="56">
        <f t="shared" si="4"/>
        <v>-2587.9</v>
      </c>
      <c r="Z17" s="127">
        <f t="shared" si="7"/>
        <v>-44.6</v>
      </c>
      <c r="AA17" s="119">
        <f t="shared" si="12"/>
        <v>0</v>
      </c>
      <c r="AC17" s="118"/>
      <c r="AE17" s="176">
        <f t="shared" si="8"/>
        <v>0</v>
      </c>
    </row>
    <row r="18" spans="1:32" ht="27" customHeight="1">
      <c r="A18" s="4" t="s">
        <v>18</v>
      </c>
      <c r="B18" s="48">
        <f t="shared" si="9"/>
        <v>3719.1</v>
      </c>
      <c r="C18" s="49">
        <v>3309.4</v>
      </c>
      <c r="D18" s="49"/>
      <c r="E18" s="49">
        <v>409.7</v>
      </c>
      <c r="F18" s="48">
        <f t="shared" si="10"/>
        <v>4169.9000000000005</v>
      </c>
      <c r="G18" s="49">
        <v>3909.3</v>
      </c>
      <c r="H18" s="49"/>
      <c r="I18" s="49">
        <v>260.60000000000002</v>
      </c>
      <c r="J18" s="28">
        <f t="shared" si="5"/>
        <v>3210.1000000000004</v>
      </c>
      <c r="K18" s="5">
        <v>3188.3</v>
      </c>
      <c r="L18" s="5"/>
      <c r="M18" s="5">
        <v>21.8</v>
      </c>
      <c r="N18" s="28">
        <f t="shared" si="11"/>
        <v>4780.3999999999996</v>
      </c>
      <c r="O18" s="13">
        <v>4719</v>
      </c>
      <c r="P18" s="30"/>
      <c r="Q18" s="49">
        <v>61.4</v>
      </c>
      <c r="R18" s="51">
        <f t="shared" si="6"/>
        <v>1061.2999999999997</v>
      </c>
      <c r="S18" s="119">
        <v>6516.8</v>
      </c>
      <c r="T18" s="140">
        <f>3238+1963.8+8.5+35</f>
        <v>5245.3</v>
      </c>
      <c r="U18" s="49"/>
      <c r="V18" s="23"/>
      <c r="W18" s="23"/>
      <c r="X18" s="23"/>
      <c r="Y18" s="56">
        <f t="shared" si="4"/>
        <v>1736.4000000000005</v>
      </c>
      <c r="Z18" s="127">
        <f t="shared" si="7"/>
        <v>2797.7000000000003</v>
      </c>
      <c r="AA18" s="119">
        <f>SUM(AB18:AD18)</f>
        <v>6628.4</v>
      </c>
      <c r="AB18" s="118">
        <f>7028.4-400</f>
        <v>6628.4</v>
      </c>
      <c r="AC18" s="118"/>
      <c r="AD18" s="23"/>
      <c r="AE18" s="176">
        <f t="shared" si="8"/>
        <v>111.59999999999945</v>
      </c>
      <c r="AF18" s="62" t="s">
        <v>151</v>
      </c>
    </row>
    <row r="19" spans="1:32" ht="27" customHeight="1">
      <c r="A19" s="4" t="s">
        <v>19</v>
      </c>
      <c r="B19" s="48">
        <f t="shared" si="9"/>
        <v>4569.7</v>
      </c>
      <c r="C19" s="49">
        <v>4262.8</v>
      </c>
      <c r="D19" s="49">
        <v>306.89999999999998</v>
      </c>
      <c r="E19" s="49"/>
      <c r="F19" s="48">
        <f t="shared" si="10"/>
        <v>4138.8</v>
      </c>
      <c r="G19" s="49">
        <v>4062.8</v>
      </c>
      <c r="H19" s="49">
        <v>76</v>
      </c>
      <c r="I19" s="49"/>
      <c r="J19" s="28">
        <f t="shared" si="5"/>
        <v>5183.7999999999993</v>
      </c>
      <c r="K19" s="5">
        <f>786.4+10+4184.7</f>
        <v>4981.0999999999995</v>
      </c>
      <c r="L19" s="5">
        <v>202.7</v>
      </c>
      <c r="M19" s="5"/>
      <c r="N19" s="28">
        <f t="shared" si="11"/>
        <v>4487</v>
      </c>
      <c r="O19" s="13">
        <v>4445</v>
      </c>
      <c r="P19" s="30">
        <v>42</v>
      </c>
      <c r="Q19" s="49"/>
      <c r="R19" s="51">
        <f t="shared" si="6"/>
        <v>-82.699999999999818</v>
      </c>
      <c r="S19" s="119">
        <v>6330</v>
      </c>
      <c r="T19" s="13">
        <f>4227.4+1602.6</f>
        <v>5830</v>
      </c>
      <c r="U19" s="49"/>
      <c r="V19" s="23"/>
      <c r="W19" s="23"/>
      <c r="X19" s="23"/>
      <c r="Y19" s="56">
        <f t="shared" si="4"/>
        <v>1843</v>
      </c>
      <c r="Z19" s="127">
        <f t="shared" si="7"/>
        <v>1760.3000000000002</v>
      </c>
      <c r="AA19" s="155">
        <f>SUM(AB19:AD19)</f>
        <v>7656.1</v>
      </c>
      <c r="AB19" s="13">
        <f>5717.6+1938.5</f>
        <v>7656.1</v>
      </c>
      <c r="AC19" s="118"/>
      <c r="AD19" s="23"/>
      <c r="AE19" s="176">
        <f t="shared" si="8"/>
        <v>1326.1000000000004</v>
      </c>
      <c r="AF19" s="62" t="s">
        <v>153</v>
      </c>
    </row>
    <row r="20" spans="1:32" ht="44.25" customHeight="1">
      <c r="A20" s="4" t="s">
        <v>20</v>
      </c>
      <c r="B20" s="48">
        <f t="shared" si="9"/>
        <v>465.5</v>
      </c>
      <c r="C20" s="49">
        <v>465.5</v>
      </c>
      <c r="D20" s="49"/>
      <c r="E20" s="49"/>
      <c r="F20" s="48">
        <f t="shared" si="10"/>
        <v>436.8</v>
      </c>
      <c r="G20" s="49">
        <v>436.8</v>
      </c>
      <c r="H20" s="49"/>
      <c r="I20" s="49"/>
      <c r="J20" s="28">
        <f t="shared" si="5"/>
        <v>377.3</v>
      </c>
      <c r="K20" s="5">
        <v>377.3</v>
      </c>
      <c r="L20" s="5"/>
      <c r="M20" s="5"/>
      <c r="N20" s="28">
        <f t="shared" si="11"/>
        <v>600</v>
      </c>
      <c r="O20" s="13">
        <v>600</v>
      </c>
      <c r="P20" s="30"/>
      <c r="Q20" s="49"/>
      <c r="R20" s="51">
        <f t="shared" si="6"/>
        <v>134.5</v>
      </c>
      <c r="S20" s="119">
        <v>1198.0999999999999</v>
      </c>
      <c r="T20" s="140">
        <v>1041.5999999999999</v>
      </c>
      <c r="U20" s="49"/>
      <c r="V20" s="23"/>
      <c r="W20" s="23"/>
      <c r="X20" s="23"/>
      <c r="Y20" s="56">
        <f t="shared" si="4"/>
        <v>598.09999999999991</v>
      </c>
      <c r="Z20" s="127">
        <f t="shared" si="7"/>
        <v>732.59999999999991</v>
      </c>
      <c r="AA20" s="119">
        <f t="shared" si="12"/>
        <v>1282</v>
      </c>
      <c r="AB20" s="118">
        <f>1202+80</f>
        <v>1282</v>
      </c>
      <c r="AC20" s="118"/>
      <c r="AD20" s="23"/>
      <c r="AE20" s="176">
        <f t="shared" si="8"/>
        <v>83.900000000000091</v>
      </c>
    </row>
    <row r="21" spans="1:32" ht="32.25" customHeight="1">
      <c r="A21" s="4" t="s">
        <v>27</v>
      </c>
      <c r="B21" s="48">
        <f t="shared" si="9"/>
        <v>0</v>
      </c>
      <c r="C21" s="49"/>
      <c r="D21" s="49"/>
      <c r="E21" s="49"/>
      <c r="F21" s="48">
        <f t="shared" si="10"/>
        <v>0</v>
      </c>
      <c r="G21" s="49"/>
      <c r="H21" s="49"/>
      <c r="I21" s="49"/>
      <c r="J21" s="28">
        <f t="shared" si="5"/>
        <v>2692.5</v>
      </c>
      <c r="K21" s="110">
        <v>2692.5</v>
      </c>
      <c r="L21" s="5"/>
      <c r="M21" s="5"/>
      <c r="N21" s="28">
        <f t="shared" si="11"/>
        <v>0</v>
      </c>
      <c r="O21" s="13"/>
      <c r="P21" s="30"/>
      <c r="Q21" s="49"/>
      <c r="R21" s="51">
        <f t="shared" si="6"/>
        <v>0</v>
      </c>
      <c r="S21" s="119">
        <v>3224.8</v>
      </c>
      <c r="T21" s="140">
        <v>174.5</v>
      </c>
      <c r="U21" s="49"/>
      <c r="V21" s="23"/>
      <c r="W21" s="23"/>
      <c r="X21" s="23"/>
      <c r="Y21" s="56">
        <f t="shared" si="4"/>
        <v>3224.8</v>
      </c>
      <c r="Z21" s="127">
        <f t="shared" si="7"/>
        <v>3224.8</v>
      </c>
      <c r="AA21" s="119">
        <f t="shared" si="12"/>
        <v>3568.2999999999997</v>
      </c>
      <c r="AB21" s="118">
        <f>3247.2+287.1+34</f>
        <v>3568.2999999999997</v>
      </c>
      <c r="AC21" s="118"/>
      <c r="AD21" s="23"/>
      <c r="AE21" s="176">
        <f t="shared" si="8"/>
        <v>343.49999999999955</v>
      </c>
      <c r="AF21" s="62" t="s">
        <v>158</v>
      </c>
    </row>
    <row r="22" spans="1:32" ht="28.5" customHeight="1">
      <c r="A22" s="20" t="s">
        <v>21</v>
      </c>
      <c r="B22" s="47">
        <f t="shared" si="9"/>
        <v>1149.7</v>
      </c>
      <c r="C22" s="9">
        <v>1149.7</v>
      </c>
      <c r="D22" s="9"/>
      <c r="E22" s="9"/>
      <c r="F22" s="47">
        <f t="shared" si="10"/>
        <v>984</v>
      </c>
      <c r="G22" s="9">
        <v>984</v>
      </c>
      <c r="H22" s="9"/>
      <c r="I22" s="9"/>
      <c r="J22" s="104">
        <f t="shared" si="5"/>
        <v>990</v>
      </c>
      <c r="K22" s="105">
        <v>990</v>
      </c>
      <c r="L22" s="105"/>
      <c r="M22" s="105"/>
      <c r="N22" s="28">
        <f t="shared" si="11"/>
        <v>1038</v>
      </c>
      <c r="O22" s="19">
        <v>1038</v>
      </c>
      <c r="P22" s="93"/>
      <c r="Q22" s="9"/>
      <c r="R22" s="96">
        <f t="shared" si="6"/>
        <v>-111.70000000000005</v>
      </c>
      <c r="S22" s="119">
        <v>1320.2</v>
      </c>
      <c r="T22" s="19">
        <v>1178.8</v>
      </c>
      <c r="U22" s="9"/>
      <c r="V22" s="107"/>
      <c r="W22" s="107"/>
      <c r="X22" s="107"/>
      <c r="Y22" s="108">
        <f t="shared" si="4"/>
        <v>282.20000000000005</v>
      </c>
      <c r="Z22" s="128">
        <f t="shared" si="7"/>
        <v>170.5</v>
      </c>
      <c r="AA22" s="121">
        <f t="shared" si="12"/>
        <v>1650</v>
      </c>
      <c r="AB22" s="19">
        <f>1500+150</f>
        <v>1650</v>
      </c>
      <c r="AC22" s="9"/>
      <c r="AD22" s="107"/>
      <c r="AE22" s="176">
        <f t="shared" si="8"/>
        <v>329.79999999999995</v>
      </c>
      <c r="AF22" s="62" t="s">
        <v>152</v>
      </c>
    </row>
    <row r="23" spans="1:32" s="109" customFormat="1" ht="68.25" customHeight="1">
      <c r="A23" s="94" t="s">
        <v>111</v>
      </c>
      <c r="B23" s="23"/>
      <c r="C23" s="23"/>
      <c r="D23" s="23"/>
      <c r="E23" s="23"/>
      <c r="F23" s="99">
        <f t="shared" si="10"/>
        <v>201</v>
      </c>
      <c r="G23" s="23">
        <v>201</v>
      </c>
      <c r="H23" s="23"/>
      <c r="I23" s="23"/>
      <c r="J23" s="28">
        <f t="shared" si="5"/>
        <v>1320.1</v>
      </c>
      <c r="K23" s="106">
        <v>546.5</v>
      </c>
      <c r="L23" s="103">
        <f>328.6+445</f>
        <v>773.6</v>
      </c>
      <c r="M23" s="106"/>
      <c r="N23" s="28">
        <f t="shared" si="11"/>
        <v>966.9</v>
      </c>
      <c r="O23" s="25">
        <v>966.9</v>
      </c>
      <c r="P23" s="111"/>
      <c r="Q23" s="23"/>
      <c r="R23" s="97">
        <f t="shared" si="6"/>
        <v>966.9</v>
      </c>
      <c r="S23" s="119">
        <v>1150</v>
      </c>
      <c r="T23" s="30">
        <f>500+5000+10</f>
        <v>5510</v>
      </c>
      <c r="U23" s="98"/>
      <c r="V23" s="23"/>
      <c r="W23" s="23"/>
      <c r="X23" s="23"/>
      <c r="Y23" s="56">
        <f t="shared" si="4"/>
        <v>183.10000000000002</v>
      </c>
      <c r="Z23" s="127">
        <f t="shared" si="7"/>
        <v>1150</v>
      </c>
      <c r="AA23" s="119">
        <f t="shared" si="12"/>
        <v>1300</v>
      </c>
      <c r="AB23" s="30">
        <f>1150+150</f>
        <v>1300</v>
      </c>
      <c r="AC23" s="118"/>
      <c r="AD23" s="23"/>
      <c r="AE23" s="176">
        <f t="shared" si="8"/>
        <v>150</v>
      </c>
      <c r="AF23" s="130"/>
    </row>
    <row r="24" spans="1:32" s="109" customFormat="1" ht="27" customHeight="1">
      <c r="A24" s="109" t="s">
        <v>148</v>
      </c>
      <c r="J24" s="28"/>
      <c r="Z24" s="129"/>
      <c r="AA24" s="186">
        <f t="shared" si="12"/>
        <v>111.5</v>
      </c>
      <c r="AB24" s="109">
        <v>111.5</v>
      </c>
      <c r="AE24" s="56">
        <f t="shared" si="8"/>
        <v>111.5</v>
      </c>
      <c r="AF24" s="130"/>
    </row>
    <row r="30" spans="1:32">
      <c r="S30" s="62" t="s">
        <v>169</v>
      </c>
    </row>
    <row r="31" spans="1:32">
      <c r="S31" s="62" t="s">
        <v>170</v>
      </c>
    </row>
  </sheetData>
  <mergeCells count="24">
    <mergeCell ref="A1:AE1"/>
    <mergeCell ref="AA3:AA5"/>
    <mergeCell ref="AB3:AD3"/>
    <mergeCell ref="AE3:AE5"/>
    <mergeCell ref="AB4:AD4"/>
    <mergeCell ref="A3:A5"/>
    <mergeCell ref="B3:E3"/>
    <mergeCell ref="N3:Q3"/>
    <mergeCell ref="R3:R5"/>
    <mergeCell ref="B4:B5"/>
    <mergeCell ref="C4:E4"/>
    <mergeCell ref="N4:N5"/>
    <mergeCell ref="O4:Q4"/>
    <mergeCell ref="F4:F5"/>
    <mergeCell ref="G4:I4"/>
    <mergeCell ref="F3:I3"/>
    <mergeCell ref="J3:M3"/>
    <mergeCell ref="J4:J5"/>
    <mergeCell ref="K4:M4"/>
    <mergeCell ref="Z3:Z5"/>
    <mergeCell ref="T3:V3"/>
    <mergeCell ref="T4:V4"/>
    <mergeCell ref="Y3:Y5"/>
    <mergeCell ref="S3:S5"/>
  </mergeCells>
  <pageMargins left="0.70866141732283472" right="0.70866141732283472" top="0.31496062992125984" bottom="0.19685039370078741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5"/>
  <sheetViews>
    <sheetView tabSelected="1" zoomScaleSheetLayoutView="70" workbookViewId="0">
      <pane xSplit="5" ySplit="5" topLeftCell="S6" activePane="bottomRight" state="frozen"/>
      <selection pane="topRight" activeCell="F1" sqref="F1"/>
      <selection pane="bottomLeft" activeCell="A6" sqref="A6"/>
      <selection pane="bottomRight" activeCell="AB15" sqref="AB15"/>
    </sheetView>
  </sheetViews>
  <sheetFormatPr defaultRowHeight="15"/>
  <cols>
    <col min="1" max="1" width="23.28515625" customWidth="1"/>
    <col min="2" max="2" width="12.5703125" hidden="1" customWidth="1"/>
    <col min="3" max="4" width="9.140625" hidden="1" customWidth="1"/>
    <col min="5" max="5" width="9.42578125" hidden="1" customWidth="1"/>
    <col min="6" max="6" width="11" style="46" hidden="1" customWidth="1"/>
    <col min="7" max="7" width="10.85546875" style="46" hidden="1" customWidth="1"/>
    <col min="8" max="9" width="9.42578125" style="46" hidden="1" customWidth="1"/>
    <col min="10" max="10" width="12.140625" style="46" hidden="1" customWidth="1"/>
    <col min="11" max="13" width="9.42578125" style="46" hidden="1" customWidth="1"/>
    <col min="14" max="14" width="14" hidden="1" customWidth="1"/>
    <col min="15" max="15" width="9.5703125" hidden="1" customWidth="1"/>
    <col min="16" max="16" width="10.85546875" hidden="1" customWidth="1"/>
    <col min="17" max="17" width="9.85546875" hidden="1" customWidth="1"/>
    <col min="18" max="18" width="10.140625" hidden="1" customWidth="1"/>
    <col min="19" max="19" width="13.5703125" hidden="1" customWidth="1"/>
    <col min="20" max="20" width="13.42578125" hidden="1" customWidth="1"/>
    <col min="21" max="21" width="10.85546875" hidden="1" customWidth="1"/>
    <col min="22" max="22" width="11.42578125" hidden="1" customWidth="1"/>
    <col min="23" max="24" width="11.42578125" style="46" hidden="1" customWidth="1"/>
    <col min="25" max="25" width="10.7109375" customWidth="1"/>
    <col min="26" max="26" width="9.140625" customWidth="1"/>
    <col min="27" max="27" width="13" customWidth="1"/>
    <col min="28" max="28" width="10.140625" customWidth="1"/>
    <col min="29" max="31" width="9.140625" customWidth="1"/>
  </cols>
  <sheetData>
    <row r="1" spans="1:32" ht="40.5" customHeight="1">
      <c r="A1" s="210" t="s">
        <v>142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</row>
    <row r="3" spans="1:32" ht="15.75" customHeight="1">
      <c r="A3" s="205" t="s">
        <v>0</v>
      </c>
      <c r="B3" s="205" t="s">
        <v>1</v>
      </c>
      <c r="C3" s="205"/>
      <c r="D3" s="205"/>
      <c r="E3" s="205"/>
      <c r="F3" s="205" t="s">
        <v>2</v>
      </c>
      <c r="G3" s="205"/>
      <c r="H3" s="205"/>
      <c r="I3" s="205"/>
      <c r="J3" s="205" t="s">
        <v>64</v>
      </c>
      <c r="K3" s="205"/>
      <c r="L3" s="205"/>
      <c r="M3" s="205"/>
      <c r="N3" s="205" t="s">
        <v>90</v>
      </c>
      <c r="O3" s="205"/>
      <c r="P3" s="205"/>
      <c r="Q3" s="205"/>
      <c r="R3" s="228" t="s">
        <v>3</v>
      </c>
      <c r="S3" s="217" t="s">
        <v>138</v>
      </c>
      <c r="T3" s="214" t="s">
        <v>136</v>
      </c>
      <c r="U3" s="215"/>
      <c r="V3" s="224"/>
      <c r="W3" s="119"/>
      <c r="X3" s="132"/>
      <c r="Y3" s="225" t="s">
        <v>3</v>
      </c>
      <c r="Z3" s="221" t="s">
        <v>91</v>
      </c>
      <c r="AA3" s="217" t="s">
        <v>159</v>
      </c>
      <c r="AB3" s="214" t="s">
        <v>137</v>
      </c>
      <c r="AC3" s="215"/>
      <c r="AD3" s="224"/>
      <c r="AE3" s="225" t="s">
        <v>3</v>
      </c>
    </row>
    <row r="4" spans="1:32" ht="15.75" customHeight="1">
      <c r="A4" s="205"/>
      <c r="B4" s="206" t="s">
        <v>43</v>
      </c>
      <c r="C4" s="205" t="s">
        <v>4</v>
      </c>
      <c r="D4" s="205"/>
      <c r="E4" s="205"/>
      <c r="F4" s="206" t="s">
        <v>87</v>
      </c>
      <c r="G4" s="205" t="s">
        <v>4</v>
      </c>
      <c r="H4" s="205"/>
      <c r="I4" s="205"/>
      <c r="J4" s="206" t="s">
        <v>97</v>
      </c>
      <c r="K4" s="205" t="s">
        <v>4</v>
      </c>
      <c r="L4" s="205"/>
      <c r="M4" s="205"/>
      <c r="N4" s="206" t="s">
        <v>106</v>
      </c>
      <c r="O4" s="205" t="s">
        <v>4</v>
      </c>
      <c r="P4" s="205"/>
      <c r="Q4" s="205"/>
      <c r="R4" s="228"/>
      <c r="S4" s="218"/>
      <c r="T4" s="207" t="s">
        <v>4</v>
      </c>
      <c r="U4" s="208"/>
      <c r="V4" s="209"/>
      <c r="W4" s="118"/>
      <c r="X4" s="133"/>
      <c r="Y4" s="226"/>
      <c r="Z4" s="222"/>
      <c r="AA4" s="218"/>
      <c r="AB4" s="207" t="s">
        <v>4</v>
      </c>
      <c r="AC4" s="208"/>
      <c r="AD4" s="209"/>
      <c r="AE4" s="226"/>
    </row>
    <row r="5" spans="1:32" ht="78.75">
      <c r="A5" s="205"/>
      <c r="B5" s="206"/>
      <c r="C5" s="1" t="s">
        <v>5</v>
      </c>
      <c r="D5" s="1" t="s">
        <v>6</v>
      </c>
      <c r="E5" s="1" t="s">
        <v>7</v>
      </c>
      <c r="F5" s="206"/>
      <c r="G5" s="45" t="s">
        <v>5</v>
      </c>
      <c r="H5" s="45" t="s">
        <v>6</v>
      </c>
      <c r="I5" s="45" t="s">
        <v>7</v>
      </c>
      <c r="J5" s="206"/>
      <c r="K5" s="98" t="s">
        <v>5</v>
      </c>
      <c r="L5" s="98" t="s">
        <v>6</v>
      </c>
      <c r="M5" s="98" t="s">
        <v>7</v>
      </c>
      <c r="N5" s="206"/>
      <c r="O5" s="45" t="s">
        <v>5</v>
      </c>
      <c r="P5" s="118" t="s">
        <v>6</v>
      </c>
      <c r="Q5" s="118" t="s">
        <v>7</v>
      </c>
      <c r="R5" s="228"/>
      <c r="S5" s="219"/>
      <c r="T5" s="118" t="s">
        <v>5</v>
      </c>
      <c r="U5" s="30" t="s">
        <v>98</v>
      </c>
      <c r="V5" s="118" t="s">
        <v>7</v>
      </c>
      <c r="W5" s="30" t="s">
        <v>98</v>
      </c>
      <c r="X5" s="26" t="s">
        <v>6</v>
      </c>
      <c r="Y5" s="227"/>
      <c r="Z5" s="223"/>
      <c r="AA5" s="219"/>
      <c r="AB5" s="118" t="s">
        <v>5</v>
      </c>
      <c r="AC5" s="118" t="s">
        <v>65</v>
      </c>
      <c r="AD5" s="118" t="s">
        <v>7</v>
      </c>
      <c r="AE5" s="227"/>
    </row>
    <row r="6" spans="1:32" ht="22.5" customHeight="1">
      <c r="A6" s="1" t="s">
        <v>8</v>
      </c>
      <c r="B6" s="2">
        <f t="shared" ref="B6:R6" si="0">SUM(B7:B19)</f>
        <v>68271.700000000012</v>
      </c>
      <c r="C6" s="1">
        <f t="shared" si="0"/>
        <v>63188.999999999993</v>
      </c>
      <c r="D6" s="1">
        <f t="shared" si="0"/>
        <v>2760.4</v>
      </c>
      <c r="E6" s="1">
        <f t="shared" si="0"/>
        <v>2322.2999999999997</v>
      </c>
      <c r="F6" s="48">
        <f t="shared" si="0"/>
        <v>69306.100000000006</v>
      </c>
      <c r="G6" s="99">
        <f t="shared" si="0"/>
        <v>62361.999999999993</v>
      </c>
      <c r="H6" s="99">
        <f t="shared" si="0"/>
        <v>4684.3</v>
      </c>
      <c r="I6" s="99">
        <f t="shared" si="0"/>
        <v>2259.7999999999997</v>
      </c>
      <c r="J6" s="99">
        <f>SUM(J7:J20)</f>
        <v>74663.100000000006</v>
      </c>
      <c r="K6" s="99">
        <f t="shared" ref="K6:M6" si="1">SUM(K7:K20)</f>
        <v>62391.19999999999</v>
      </c>
      <c r="L6" s="99">
        <f t="shared" si="1"/>
        <v>10154.200000000001</v>
      </c>
      <c r="M6" s="99">
        <f t="shared" si="1"/>
        <v>2117.6999999999998</v>
      </c>
      <c r="N6" s="119">
        <f>SUM(N7:N20)</f>
        <v>92800.400000000009</v>
      </c>
      <c r="O6" s="99">
        <f>SUM(O7:O20)</f>
        <v>75524.100000000006</v>
      </c>
      <c r="P6" s="99">
        <f t="shared" ref="P6:Q6" si="2">SUM(P7:P20)</f>
        <v>3123.6000000000004</v>
      </c>
      <c r="Q6" s="99">
        <f t="shared" si="2"/>
        <v>14152.7</v>
      </c>
      <c r="R6" s="100">
        <f t="shared" si="0"/>
        <v>24528.700000000004</v>
      </c>
      <c r="S6" s="24">
        <f>SUM(T6:V6)</f>
        <v>108718.29999999999</v>
      </c>
      <c r="T6" s="24">
        <f>SUM(T7:T20)</f>
        <v>108718.29999999999</v>
      </c>
      <c r="U6" s="24">
        <f>SUM(U7:U20)</f>
        <v>0</v>
      </c>
      <c r="V6" s="24">
        <f t="shared" ref="V6:X6" si="3">SUM(V7:V19)</f>
        <v>0</v>
      </c>
      <c r="W6" s="24"/>
      <c r="X6" s="24">
        <f t="shared" si="3"/>
        <v>0</v>
      </c>
      <c r="Y6" s="112">
        <f t="shared" ref="Y6:Y20" si="4">S6-N6</f>
        <v>15917.89999999998</v>
      </c>
      <c r="Z6" s="64">
        <f>SUM(Z7:Z19)</f>
        <v>52080.600000000006</v>
      </c>
      <c r="AA6" s="24">
        <f>SUM(AB6:AD6)</f>
        <v>122138.9</v>
      </c>
      <c r="AB6" s="24">
        <f>SUM(AB7:AB20)</f>
        <v>122138.9</v>
      </c>
      <c r="AC6" s="24">
        <f t="shared" ref="AC6:AD6" si="5">SUM(AC7:AC20)</f>
        <v>0</v>
      </c>
      <c r="AD6" s="24">
        <f t="shared" si="5"/>
        <v>0</v>
      </c>
      <c r="AE6" s="112">
        <f>AA6-S6</f>
        <v>13420.600000000006</v>
      </c>
    </row>
    <row r="7" spans="1:32" ht="35.25" customHeight="1">
      <c r="A7" s="4" t="s">
        <v>22</v>
      </c>
      <c r="B7" s="2">
        <f>SUM(C7:E7)</f>
        <v>1274.3</v>
      </c>
      <c r="C7" s="1">
        <v>1274.3</v>
      </c>
      <c r="D7" s="1"/>
      <c r="E7" s="1"/>
      <c r="F7" s="48">
        <f>SUM(G7:I7)</f>
        <v>1304.5</v>
      </c>
      <c r="G7" s="45">
        <v>1304.5</v>
      </c>
      <c r="H7" s="45"/>
      <c r="I7" s="45"/>
      <c r="J7" s="99">
        <f>SUM(K7:M7)</f>
        <v>1290.5999999999999</v>
      </c>
      <c r="K7" s="98">
        <v>1290.5999999999999</v>
      </c>
      <c r="L7" s="98"/>
      <c r="M7" s="98"/>
      <c r="N7" s="119">
        <f>SUM(O7:Q7)</f>
        <v>1605.6</v>
      </c>
      <c r="O7" s="13">
        <v>1605.6</v>
      </c>
      <c r="P7" s="30"/>
      <c r="Q7" s="1"/>
      <c r="R7" s="63">
        <f t="shared" ref="R7:R19" si="6">N7-B7</f>
        <v>331.29999999999995</v>
      </c>
      <c r="S7" s="24">
        <v>1807.6</v>
      </c>
      <c r="T7" s="23">
        <f>1543.5+97.1</f>
        <v>1640.6</v>
      </c>
      <c r="U7" s="23"/>
      <c r="V7" s="23"/>
      <c r="W7" s="23"/>
      <c r="X7" s="23"/>
      <c r="Y7" s="112">
        <f t="shared" si="4"/>
        <v>202</v>
      </c>
      <c r="Z7" s="65">
        <f t="shared" ref="Z7:Z19" si="7">S7-B7</f>
        <v>533.29999999999995</v>
      </c>
      <c r="AA7" s="24">
        <f>SUM(AB7:AD7)</f>
        <v>1963</v>
      </c>
      <c r="AB7" s="23">
        <f>1928+35</f>
        <v>1963</v>
      </c>
      <c r="AC7" s="23"/>
      <c r="AD7" s="23"/>
      <c r="AE7" s="112">
        <f t="shared" ref="AE7:AE20" si="8">AA7-S7</f>
        <v>155.40000000000009</v>
      </c>
      <c r="AF7" t="s">
        <v>172</v>
      </c>
    </row>
    <row r="8" spans="1:32" ht="37.5" customHeight="1">
      <c r="A8" s="4" t="s">
        <v>23</v>
      </c>
      <c r="B8" s="2">
        <f t="shared" ref="B8:B19" si="9">SUM(C8:E8)</f>
        <v>7383.8</v>
      </c>
      <c r="C8" s="1">
        <v>7081.2</v>
      </c>
      <c r="D8" s="13">
        <v>302.60000000000002</v>
      </c>
      <c r="E8" s="1"/>
      <c r="F8" s="48">
        <f t="shared" ref="F8:F20" si="10">SUM(G8:I8)</f>
        <v>6099.8</v>
      </c>
      <c r="G8" s="45">
        <v>5841.8</v>
      </c>
      <c r="H8" s="45">
        <v>258</v>
      </c>
      <c r="I8" s="45"/>
      <c r="J8" s="99">
        <f t="shared" ref="J8:J19" si="11">SUM(K8:M8)</f>
        <v>6313.5</v>
      </c>
      <c r="K8" s="98">
        <v>6009.9</v>
      </c>
      <c r="L8" s="98">
        <v>303.60000000000002</v>
      </c>
      <c r="M8" s="98"/>
      <c r="N8" s="119">
        <f t="shared" ref="N8:N20" si="12">SUM(O8:Q8)</f>
        <v>10060.400000000001</v>
      </c>
      <c r="O8" s="13">
        <v>8942.2000000000007</v>
      </c>
      <c r="P8" s="30">
        <v>80</v>
      </c>
      <c r="Q8" s="1">
        <v>1038.2</v>
      </c>
      <c r="R8" s="63">
        <f t="shared" si="6"/>
        <v>2676.6000000000013</v>
      </c>
      <c r="S8" s="24">
        <v>23115.4</v>
      </c>
      <c r="T8" s="23">
        <f>5012.6+5741.3+3833.9+5971.6+21.8</f>
        <v>20581.2</v>
      </c>
      <c r="U8" s="23"/>
      <c r="V8" s="23"/>
      <c r="W8" s="23"/>
      <c r="X8" s="23"/>
      <c r="Y8" s="112">
        <f t="shared" si="4"/>
        <v>13055</v>
      </c>
      <c r="Z8" s="65">
        <f t="shared" si="7"/>
        <v>15731.600000000002</v>
      </c>
      <c r="AA8" s="24">
        <f t="shared" ref="AA8:AA20" si="13">SUM(AB8:AD8)</f>
        <v>25668.199999999997</v>
      </c>
      <c r="AB8" s="23">
        <f>12374.4+13293.8</f>
        <v>25668.199999999997</v>
      </c>
      <c r="AC8" s="23"/>
      <c r="AD8" s="23"/>
      <c r="AE8" s="112">
        <f t="shared" si="8"/>
        <v>2552.7999999999956</v>
      </c>
      <c r="AF8" t="s">
        <v>154</v>
      </c>
    </row>
    <row r="9" spans="1:32" ht="25.5" customHeight="1">
      <c r="A9" s="4" t="s">
        <v>24</v>
      </c>
      <c r="B9" s="2">
        <f t="shared" si="9"/>
        <v>29539</v>
      </c>
      <c r="C9" s="1">
        <v>26530.5</v>
      </c>
      <c r="D9" s="1">
        <v>688.3</v>
      </c>
      <c r="E9" s="1">
        <v>2320.1999999999998</v>
      </c>
      <c r="F9" s="48">
        <f t="shared" si="10"/>
        <v>31343.699999999997</v>
      </c>
      <c r="G9" s="45">
        <v>26173.8</v>
      </c>
      <c r="H9" s="45">
        <f>679.3+2233.5</f>
        <v>2912.8</v>
      </c>
      <c r="I9" s="45">
        <v>2257.1</v>
      </c>
      <c r="J9" s="99">
        <f t="shared" si="11"/>
        <v>30059.100000000002</v>
      </c>
      <c r="K9" s="98">
        <v>25063.7</v>
      </c>
      <c r="L9" s="98">
        <v>2880.9</v>
      </c>
      <c r="M9" s="98">
        <v>2114.5</v>
      </c>
      <c r="N9" s="119">
        <f t="shared" si="12"/>
        <v>57883.100000000006</v>
      </c>
      <c r="O9" s="13">
        <v>42590.5</v>
      </c>
      <c r="P9" s="30">
        <v>2481.8000000000002</v>
      </c>
      <c r="Q9" s="1">
        <v>12810.8</v>
      </c>
      <c r="R9" s="63">
        <f t="shared" si="6"/>
        <v>28344.100000000006</v>
      </c>
      <c r="S9" s="24">
        <v>57787.9</v>
      </c>
      <c r="T9" s="136">
        <f>41736.7+330+34+284.2+6006.9</f>
        <v>48391.799999999996</v>
      </c>
      <c r="U9" s="23"/>
      <c r="V9" s="23"/>
      <c r="W9" s="23"/>
      <c r="X9" s="23"/>
      <c r="Y9" s="112">
        <f t="shared" si="4"/>
        <v>-95.200000000004366</v>
      </c>
      <c r="Z9" s="65">
        <f t="shared" si="7"/>
        <v>28248.9</v>
      </c>
      <c r="AA9" s="24">
        <f>SUM(AB9:AD9)</f>
        <v>55022.9</v>
      </c>
      <c r="AB9" s="136">
        <f>53832.2+68.8+121.9+1000</f>
        <v>55022.9</v>
      </c>
      <c r="AC9" s="23"/>
      <c r="AD9" s="23"/>
      <c r="AE9" s="112">
        <f t="shared" si="8"/>
        <v>-2765</v>
      </c>
    </row>
    <row r="10" spans="1:32" ht="35.25" hidden="1" customHeight="1">
      <c r="A10" s="4" t="s">
        <v>104</v>
      </c>
      <c r="B10" s="2">
        <f t="shared" si="9"/>
        <v>12805.7</v>
      </c>
      <c r="C10" s="1">
        <v>11036.2</v>
      </c>
      <c r="D10" s="1">
        <v>1769.5</v>
      </c>
      <c r="E10" s="1"/>
      <c r="F10" s="48">
        <f t="shared" si="10"/>
        <v>13806</v>
      </c>
      <c r="G10" s="45">
        <v>12292.5</v>
      </c>
      <c r="H10" s="45">
        <f>192.4+1321.1</f>
        <v>1513.5</v>
      </c>
      <c r="I10" s="45"/>
      <c r="J10" s="99">
        <f t="shared" si="11"/>
        <v>16170.7</v>
      </c>
      <c r="K10" s="98">
        <v>12979.2</v>
      </c>
      <c r="L10" s="98">
        <v>3191.5</v>
      </c>
      <c r="M10" s="98"/>
      <c r="N10" s="119">
        <f t="shared" si="12"/>
        <v>0</v>
      </c>
      <c r="O10" s="13"/>
      <c r="P10" s="30"/>
      <c r="Q10" s="1"/>
      <c r="R10" s="63">
        <f t="shared" si="6"/>
        <v>-12805.7</v>
      </c>
      <c r="S10" s="24">
        <f t="shared" ref="S10:S18" si="14">SUM(T10:X10)</f>
        <v>0</v>
      </c>
      <c r="T10" s="23"/>
      <c r="U10" s="23"/>
      <c r="V10" s="23"/>
      <c r="W10" s="23"/>
      <c r="X10" s="23"/>
      <c r="Y10" s="112">
        <f t="shared" si="4"/>
        <v>0</v>
      </c>
      <c r="Z10" s="65">
        <f t="shared" si="7"/>
        <v>-12805.7</v>
      </c>
      <c r="AA10" s="24">
        <f t="shared" si="13"/>
        <v>0</v>
      </c>
      <c r="AB10" s="23"/>
      <c r="AC10" s="23"/>
      <c r="AD10" s="23"/>
      <c r="AE10" s="112">
        <f t="shared" si="8"/>
        <v>0</v>
      </c>
    </row>
    <row r="11" spans="1:32" ht="23.25" customHeight="1">
      <c r="A11" s="4" t="s">
        <v>26</v>
      </c>
      <c r="B11" s="2">
        <f t="shared" si="9"/>
        <v>3227.9</v>
      </c>
      <c r="C11" s="1">
        <v>3225.8</v>
      </c>
      <c r="D11" s="1"/>
      <c r="E11" s="1">
        <v>2.1</v>
      </c>
      <c r="F11" s="48">
        <f t="shared" si="10"/>
        <v>3100.8999999999996</v>
      </c>
      <c r="G11" s="45">
        <v>3098.2</v>
      </c>
      <c r="H11" s="45"/>
      <c r="I11" s="45">
        <v>2.7</v>
      </c>
      <c r="J11" s="99">
        <f t="shared" si="11"/>
        <v>3088.9</v>
      </c>
      <c r="K11" s="98">
        <f>3066.4-3.2</f>
        <v>3063.2000000000003</v>
      </c>
      <c r="L11" s="98">
        <f>16.5+6</f>
        <v>22.5</v>
      </c>
      <c r="M11" s="98">
        <v>3.2</v>
      </c>
      <c r="N11" s="119">
        <f t="shared" si="12"/>
        <v>3169.1</v>
      </c>
      <c r="O11" s="13">
        <v>3144.4</v>
      </c>
      <c r="P11" s="30">
        <v>4.7</v>
      </c>
      <c r="Q11" s="1">
        <v>20</v>
      </c>
      <c r="R11" s="63">
        <f t="shared" si="6"/>
        <v>-58.800000000000182</v>
      </c>
      <c r="S11" s="24">
        <v>5685.1</v>
      </c>
      <c r="T11" s="23">
        <v>4633.8999999999996</v>
      </c>
      <c r="U11" s="23"/>
      <c r="V11" s="23"/>
      <c r="W11" s="23"/>
      <c r="X11" s="23"/>
      <c r="Y11" s="112">
        <f t="shared" si="4"/>
        <v>2516.0000000000005</v>
      </c>
      <c r="Z11" s="65">
        <f t="shared" si="7"/>
        <v>2457.2000000000003</v>
      </c>
      <c r="AA11" s="24">
        <f t="shared" si="13"/>
        <v>5641</v>
      </c>
      <c r="AB11" s="162">
        <v>5641</v>
      </c>
      <c r="AC11" s="23"/>
      <c r="AD11" s="23"/>
      <c r="AE11" s="112">
        <f t="shared" si="8"/>
        <v>-44.100000000000364</v>
      </c>
      <c r="AF11" t="s">
        <v>155</v>
      </c>
    </row>
    <row r="12" spans="1:32" ht="21" customHeight="1">
      <c r="A12" s="4" t="s">
        <v>27</v>
      </c>
      <c r="B12" s="2">
        <f t="shared" si="9"/>
        <v>2263.1</v>
      </c>
      <c r="C12" s="1">
        <v>2263.1</v>
      </c>
      <c r="D12" s="1"/>
      <c r="E12" s="1"/>
      <c r="F12" s="48">
        <f t="shared" si="10"/>
        <v>2405.9</v>
      </c>
      <c r="G12" s="45">
        <v>2405.9</v>
      </c>
      <c r="H12" s="45"/>
      <c r="I12" s="45"/>
      <c r="J12" s="99">
        <f t="shared" si="11"/>
        <v>2432</v>
      </c>
      <c r="K12" s="98">
        <v>2405.1</v>
      </c>
      <c r="L12" s="98">
        <v>26.9</v>
      </c>
      <c r="M12" s="98"/>
      <c r="N12" s="119">
        <f t="shared" si="12"/>
        <v>2232.7000000000003</v>
      </c>
      <c r="O12" s="13">
        <v>2209.9</v>
      </c>
      <c r="P12" s="30">
        <v>22.8</v>
      </c>
      <c r="Q12" s="1"/>
      <c r="R12" s="63">
        <f t="shared" si="6"/>
        <v>-30.399999999999636</v>
      </c>
      <c r="S12" s="24">
        <v>3224.8</v>
      </c>
      <c r="T12" s="23">
        <f>2606.7+164.4+4.6</f>
        <v>2775.7</v>
      </c>
      <c r="U12" s="23"/>
      <c r="V12" s="23"/>
      <c r="W12" s="23"/>
      <c r="X12" s="23"/>
      <c r="Y12" s="112">
        <f t="shared" si="4"/>
        <v>992.09999999999991</v>
      </c>
      <c r="Z12" s="65">
        <f t="shared" si="7"/>
        <v>961.70000000000027</v>
      </c>
      <c r="AA12" s="24">
        <f t="shared" si="13"/>
        <v>0</v>
      </c>
      <c r="AB12" s="162"/>
      <c r="AC12" s="23"/>
      <c r="AD12" s="23"/>
      <c r="AE12" s="112">
        <f t="shared" si="8"/>
        <v>-3224.8</v>
      </c>
    </row>
    <row r="13" spans="1:32" s="46" customFormat="1" ht="21" customHeight="1">
      <c r="A13" s="4" t="s">
        <v>143</v>
      </c>
      <c r="B13" s="183"/>
      <c r="C13" s="182"/>
      <c r="D13" s="182"/>
      <c r="E13" s="182"/>
      <c r="F13" s="183"/>
      <c r="G13" s="182"/>
      <c r="H13" s="182"/>
      <c r="I13" s="182"/>
      <c r="J13" s="183"/>
      <c r="K13" s="182"/>
      <c r="L13" s="182"/>
      <c r="M13" s="182"/>
      <c r="N13" s="183"/>
      <c r="O13" s="181"/>
      <c r="P13" s="30"/>
      <c r="Q13" s="182"/>
      <c r="R13" s="184"/>
      <c r="S13" s="24"/>
      <c r="T13" s="23"/>
      <c r="U13" s="23"/>
      <c r="V13" s="23"/>
      <c r="W13" s="23"/>
      <c r="X13" s="23"/>
      <c r="Y13" s="112"/>
      <c r="Z13" s="65"/>
      <c r="AA13" s="24">
        <f t="shared" si="13"/>
        <v>0</v>
      </c>
      <c r="AB13" s="162"/>
      <c r="AC13" s="23"/>
      <c r="AD13" s="23"/>
      <c r="AE13" s="112">
        <f t="shared" si="8"/>
        <v>0</v>
      </c>
    </row>
    <row r="14" spans="1:32" ht="24.75" customHeight="1">
      <c r="A14" s="4" t="s">
        <v>28</v>
      </c>
      <c r="B14" s="2">
        <f t="shared" si="9"/>
        <v>6274.6</v>
      </c>
      <c r="C14" s="1">
        <v>6274.6</v>
      </c>
      <c r="D14" s="5"/>
      <c r="E14" s="1"/>
      <c r="F14" s="48">
        <f t="shared" si="10"/>
        <v>5955.2</v>
      </c>
      <c r="G14" s="13">
        <v>5955.2</v>
      </c>
      <c r="H14" s="45"/>
      <c r="I14" s="45"/>
      <c r="J14" s="99">
        <f t="shared" si="11"/>
        <v>6739.3</v>
      </c>
      <c r="K14" s="13">
        <v>6188.2</v>
      </c>
      <c r="L14" s="98">
        <f>481.1+70</f>
        <v>551.1</v>
      </c>
      <c r="M14" s="98"/>
      <c r="N14" s="119">
        <f t="shared" si="12"/>
        <v>6828.1</v>
      </c>
      <c r="O14" s="13">
        <v>6130.1</v>
      </c>
      <c r="P14" s="30">
        <v>534.29999999999995</v>
      </c>
      <c r="Q14" s="1">
        <v>163.69999999999999</v>
      </c>
      <c r="R14" s="63">
        <f t="shared" si="6"/>
        <v>553.5</v>
      </c>
      <c r="S14" s="24">
        <v>11461.4</v>
      </c>
      <c r="T14" s="136">
        <f>7879+846.7+538.3</f>
        <v>9264</v>
      </c>
      <c r="U14" s="23"/>
      <c r="V14" s="23"/>
      <c r="W14" s="23"/>
      <c r="X14" s="23"/>
      <c r="Y14" s="112">
        <f t="shared" si="4"/>
        <v>4633.2999999999993</v>
      </c>
      <c r="Z14" s="65">
        <f t="shared" si="7"/>
        <v>5186.7999999999993</v>
      </c>
      <c r="AA14" s="24">
        <f t="shared" si="13"/>
        <v>11837.699999999999</v>
      </c>
      <c r="AB14" s="162">
        <f>11928.3-90.6</f>
        <v>11837.699999999999</v>
      </c>
      <c r="AC14" s="23"/>
      <c r="AD14" s="23"/>
      <c r="AE14" s="112">
        <f t="shared" si="8"/>
        <v>376.29999999999927</v>
      </c>
      <c r="AF14" t="s">
        <v>156</v>
      </c>
    </row>
    <row r="15" spans="1:32" ht="34.5" customHeight="1">
      <c r="A15" s="4" t="s">
        <v>146</v>
      </c>
      <c r="B15" s="2">
        <f t="shared" si="9"/>
        <v>1071.5999999999999</v>
      </c>
      <c r="C15" s="1">
        <v>1071.5999999999999</v>
      </c>
      <c r="D15" s="1"/>
      <c r="E15" s="1"/>
      <c r="F15" s="48">
        <f t="shared" si="10"/>
        <v>0</v>
      </c>
      <c r="G15" s="45">
        <v>0</v>
      </c>
      <c r="H15" s="45"/>
      <c r="I15" s="45"/>
      <c r="J15" s="99">
        <f t="shared" si="11"/>
        <v>623.70000000000005</v>
      </c>
      <c r="K15" s="98">
        <v>440.9</v>
      </c>
      <c r="L15" s="98">
        <v>182.8</v>
      </c>
      <c r="M15" s="98"/>
      <c r="N15" s="119">
        <f t="shared" si="12"/>
        <v>756.4</v>
      </c>
      <c r="O15" s="13">
        <v>636.4</v>
      </c>
      <c r="P15" s="30"/>
      <c r="Q15" s="1">
        <v>120</v>
      </c>
      <c r="R15" s="63">
        <f t="shared" si="6"/>
        <v>-315.19999999999993</v>
      </c>
      <c r="S15" s="24"/>
      <c r="T15" s="23"/>
      <c r="U15" s="23"/>
      <c r="V15" s="23"/>
      <c r="W15" s="23"/>
      <c r="X15" s="23"/>
      <c r="Y15" s="112">
        <f t="shared" si="4"/>
        <v>-756.4</v>
      </c>
      <c r="Z15" s="65">
        <f t="shared" si="7"/>
        <v>-1071.5999999999999</v>
      </c>
      <c r="AA15" s="24">
        <f t="shared" si="13"/>
        <v>187.9</v>
      </c>
      <c r="AB15" s="162">
        <f>241.4-53.5</f>
        <v>187.9</v>
      </c>
      <c r="AC15" s="23"/>
      <c r="AD15" s="23"/>
      <c r="AE15" s="112">
        <f t="shared" si="8"/>
        <v>187.9</v>
      </c>
    </row>
    <row r="16" spans="1:32" ht="33.75" customHeight="1">
      <c r="A16" s="4" t="s">
        <v>108</v>
      </c>
      <c r="B16" s="2">
        <f t="shared" si="9"/>
        <v>4174.1000000000004</v>
      </c>
      <c r="C16" s="1">
        <v>4174.1000000000004</v>
      </c>
      <c r="D16" s="1"/>
      <c r="E16" s="1"/>
      <c r="F16" s="48">
        <f t="shared" si="10"/>
        <v>4907.7</v>
      </c>
      <c r="G16" s="45">
        <v>4907.7</v>
      </c>
      <c r="H16" s="45"/>
      <c r="I16" s="45"/>
      <c r="J16" s="99">
        <f t="shared" si="11"/>
        <v>5020.3</v>
      </c>
      <c r="K16" s="98">
        <f>999.5+4020.8-165.1</f>
        <v>4855.2</v>
      </c>
      <c r="L16" s="98">
        <v>165.1</v>
      </c>
      <c r="M16" s="98"/>
      <c r="N16" s="119">
        <f t="shared" si="12"/>
        <v>3227.2</v>
      </c>
      <c r="O16" s="13">
        <v>3227.2</v>
      </c>
      <c r="P16" s="30"/>
      <c r="Q16" s="1"/>
      <c r="R16" s="63">
        <f t="shared" si="6"/>
        <v>-946.90000000000055</v>
      </c>
      <c r="S16" s="24">
        <v>5095</v>
      </c>
      <c r="T16" s="137">
        <v>4658.8999999999996</v>
      </c>
      <c r="U16" s="23"/>
      <c r="V16" s="23"/>
      <c r="W16" s="23"/>
      <c r="X16" s="23"/>
      <c r="Y16" s="112">
        <f t="shared" si="4"/>
        <v>1867.8000000000002</v>
      </c>
      <c r="Z16" s="65">
        <f t="shared" si="7"/>
        <v>920.89999999999964</v>
      </c>
      <c r="AA16" s="24">
        <f t="shared" si="13"/>
        <v>5309.3</v>
      </c>
      <c r="AB16" s="163">
        <f>5009.3+300</f>
        <v>5309.3</v>
      </c>
      <c r="AC16" s="23"/>
      <c r="AD16" s="23"/>
      <c r="AE16" s="112">
        <f t="shared" si="8"/>
        <v>214.30000000000018</v>
      </c>
    </row>
    <row r="17" spans="1:32" s="46" customFormat="1" ht="23.25" customHeight="1">
      <c r="A17" s="4" t="s">
        <v>95</v>
      </c>
      <c r="B17" s="66">
        <v>0</v>
      </c>
      <c r="C17" s="67">
        <v>0</v>
      </c>
      <c r="D17" s="67"/>
      <c r="E17" s="67"/>
      <c r="F17" s="66">
        <v>0</v>
      </c>
      <c r="G17" s="67">
        <v>0</v>
      </c>
      <c r="H17" s="67"/>
      <c r="I17" s="67"/>
      <c r="J17" s="99">
        <f t="shared" si="11"/>
        <v>2829.8</v>
      </c>
      <c r="K17" s="98"/>
      <c r="L17" s="98">
        <v>2829.8</v>
      </c>
      <c r="M17" s="98"/>
      <c r="N17" s="119">
        <f t="shared" si="12"/>
        <v>6942.6</v>
      </c>
      <c r="O17" s="13">
        <v>6942.6</v>
      </c>
      <c r="P17" s="30"/>
      <c r="Q17" s="67"/>
      <c r="R17" s="68">
        <f t="shared" si="6"/>
        <v>6942.6</v>
      </c>
      <c r="S17" s="24">
        <v>9687.2999999999993</v>
      </c>
      <c r="T17" s="23">
        <v>9092.2999999999993</v>
      </c>
      <c r="U17" s="23"/>
      <c r="V17" s="23"/>
      <c r="W17" s="23"/>
      <c r="X17" s="23"/>
      <c r="Y17" s="112">
        <f t="shared" si="4"/>
        <v>2744.6999999999989</v>
      </c>
      <c r="Z17" s="65">
        <f t="shared" si="7"/>
        <v>9687.2999999999993</v>
      </c>
      <c r="AA17" s="24">
        <f t="shared" si="13"/>
        <v>9916</v>
      </c>
      <c r="AB17" s="162">
        <v>9916</v>
      </c>
      <c r="AC17" s="23"/>
      <c r="AD17" s="23"/>
      <c r="AE17" s="112">
        <f t="shared" si="8"/>
        <v>228.70000000000073</v>
      </c>
      <c r="AF17" s="46" t="s">
        <v>157</v>
      </c>
    </row>
    <row r="18" spans="1:32" ht="36" hidden="1" customHeight="1">
      <c r="A18" s="4" t="s">
        <v>42</v>
      </c>
      <c r="B18" s="2">
        <f t="shared" si="9"/>
        <v>107.6</v>
      </c>
      <c r="C18" s="1">
        <v>107.6</v>
      </c>
      <c r="D18" s="1"/>
      <c r="E18" s="1"/>
      <c r="F18" s="48">
        <f t="shared" si="10"/>
        <v>107.6</v>
      </c>
      <c r="G18" s="13">
        <v>107.6</v>
      </c>
      <c r="H18" s="45"/>
      <c r="I18" s="45"/>
      <c r="J18" s="99">
        <f t="shared" si="11"/>
        <v>95.2</v>
      </c>
      <c r="K18" s="13">
        <v>95.2</v>
      </c>
      <c r="L18" s="98"/>
      <c r="M18" s="98"/>
      <c r="N18" s="119">
        <f t="shared" si="12"/>
        <v>95.2</v>
      </c>
      <c r="O18" s="13">
        <v>95.2</v>
      </c>
      <c r="P18" s="30"/>
      <c r="Q18" s="1"/>
      <c r="R18" s="63">
        <f t="shared" si="6"/>
        <v>-12.399999999999991</v>
      </c>
      <c r="S18" s="24">
        <f t="shared" si="14"/>
        <v>95.2</v>
      </c>
      <c r="T18" s="23">
        <v>95.2</v>
      </c>
      <c r="U18" s="23"/>
      <c r="V18" s="23"/>
      <c r="W18" s="23"/>
      <c r="X18" s="23"/>
      <c r="Y18" s="112">
        <f t="shared" si="4"/>
        <v>0</v>
      </c>
      <c r="Z18" s="65">
        <f t="shared" si="7"/>
        <v>-12.399999999999991</v>
      </c>
      <c r="AA18" s="24">
        <f t="shared" si="13"/>
        <v>0</v>
      </c>
      <c r="AB18" s="162"/>
      <c r="AC18" s="23"/>
      <c r="AD18" s="23"/>
      <c r="AE18" s="112">
        <f t="shared" si="8"/>
        <v>-95.2</v>
      </c>
    </row>
    <row r="19" spans="1:32" ht="39" customHeight="1">
      <c r="A19" s="4" t="s">
        <v>125</v>
      </c>
      <c r="B19" s="2">
        <f t="shared" si="9"/>
        <v>150</v>
      </c>
      <c r="C19" s="5">
        <v>150</v>
      </c>
      <c r="D19" s="1"/>
      <c r="E19" s="1"/>
      <c r="F19" s="48">
        <f t="shared" si="10"/>
        <v>274.8</v>
      </c>
      <c r="G19" s="45">
        <v>274.8</v>
      </c>
      <c r="H19" s="45"/>
      <c r="I19" s="45"/>
      <c r="J19" s="99">
        <f t="shared" si="11"/>
        <v>0</v>
      </c>
      <c r="K19" s="98"/>
      <c r="L19" s="98"/>
      <c r="M19" s="98"/>
      <c r="N19" s="119">
        <f t="shared" si="12"/>
        <v>0</v>
      </c>
      <c r="O19" s="1">
        <v>0</v>
      </c>
      <c r="P19" s="30">
        <v>0</v>
      </c>
      <c r="Q19" s="1"/>
      <c r="R19" s="63">
        <f t="shared" si="6"/>
        <v>-150</v>
      </c>
      <c r="S19" s="24">
        <f t="shared" ref="S19" si="15">SUM(T19:V19)</f>
        <v>2392.6</v>
      </c>
      <c r="T19" s="23">
        <v>2392.6</v>
      </c>
      <c r="U19" s="23"/>
      <c r="V19" s="23"/>
      <c r="W19" s="23"/>
      <c r="X19" s="23"/>
      <c r="Y19" s="112">
        <f t="shared" si="4"/>
        <v>2392.6</v>
      </c>
      <c r="Z19" s="65">
        <f t="shared" si="7"/>
        <v>2242.6</v>
      </c>
      <c r="AA19" s="24">
        <f t="shared" si="13"/>
        <v>0</v>
      </c>
      <c r="AB19" s="162"/>
      <c r="AC19" s="23"/>
      <c r="AD19" s="23"/>
      <c r="AE19" s="112">
        <f t="shared" si="8"/>
        <v>-2392.6</v>
      </c>
    </row>
    <row r="20" spans="1:32" s="114" customFormat="1" ht="22.5" customHeight="1">
      <c r="A20" s="23" t="s">
        <v>55</v>
      </c>
      <c r="B20" s="113"/>
      <c r="C20" s="113"/>
      <c r="D20" s="113"/>
      <c r="E20" s="113"/>
      <c r="F20" s="99">
        <f t="shared" si="10"/>
        <v>0</v>
      </c>
      <c r="G20" s="113"/>
      <c r="H20" s="113"/>
      <c r="I20" s="113"/>
      <c r="J20" s="99"/>
      <c r="K20" s="109"/>
      <c r="L20" s="109"/>
      <c r="M20" s="109"/>
      <c r="N20" s="119">
        <f t="shared" si="12"/>
        <v>0</v>
      </c>
      <c r="O20" s="23"/>
      <c r="P20" s="23"/>
      <c r="Q20" s="23"/>
      <c r="R20" s="100"/>
      <c r="S20" s="24">
        <v>5192.1000000000004</v>
      </c>
      <c r="T20" s="23">
        <f>2436.7+1855.4+900</f>
        <v>5192.1000000000004</v>
      </c>
      <c r="U20" s="23"/>
      <c r="V20" s="23"/>
      <c r="W20" s="23"/>
      <c r="X20" s="23"/>
      <c r="Y20" s="112">
        <f t="shared" si="4"/>
        <v>5192.1000000000004</v>
      </c>
      <c r="AA20" s="24">
        <f t="shared" si="13"/>
        <v>6592.9</v>
      </c>
      <c r="AB20" s="23">
        <v>6592.9</v>
      </c>
      <c r="AC20" s="23"/>
      <c r="AD20" s="23"/>
      <c r="AE20" s="112">
        <f t="shared" si="8"/>
        <v>1400.7999999999993</v>
      </c>
    </row>
    <row r="23" spans="1:32">
      <c r="Y23" s="46" t="s">
        <v>166</v>
      </c>
    </row>
    <row r="25" spans="1:32">
      <c r="Y25" s="46" t="s">
        <v>168</v>
      </c>
    </row>
  </sheetData>
  <mergeCells count="24">
    <mergeCell ref="A1:AE1"/>
    <mergeCell ref="AA3:AA5"/>
    <mergeCell ref="AB3:AD3"/>
    <mergeCell ref="AE3:AE5"/>
    <mergeCell ref="AB4:AD4"/>
    <mergeCell ref="A3:A5"/>
    <mergeCell ref="B3:E3"/>
    <mergeCell ref="N3:Q3"/>
    <mergeCell ref="R3:R5"/>
    <mergeCell ref="B4:B5"/>
    <mergeCell ref="C4:E4"/>
    <mergeCell ref="N4:N5"/>
    <mergeCell ref="O4:Q4"/>
    <mergeCell ref="F3:I3"/>
    <mergeCell ref="F4:F5"/>
    <mergeCell ref="G4:I4"/>
    <mergeCell ref="J3:M3"/>
    <mergeCell ref="J4:J5"/>
    <mergeCell ref="K4:M4"/>
    <mergeCell ref="Z3:Z5"/>
    <mergeCell ref="S3:S5"/>
    <mergeCell ref="T3:V3"/>
    <mergeCell ref="Y3:Y5"/>
    <mergeCell ref="T4:V4"/>
  </mergeCells>
  <pageMargins left="0.2" right="0.17" top="0.75" bottom="0.75" header="0.3" footer="0.3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"/>
  <sheetViews>
    <sheetView workbookViewId="0">
      <pane xSplit="1" ySplit="6" topLeftCell="S10" activePane="bottomRight" state="frozen"/>
      <selection pane="topRight" activeCell="B1" sqref="B1"/>
      <selection pane="bottomLeft" activeCell="A7" sqref="A7"/>
      <selection pane="bottomRight" activeCell="AJ5" sqref="AJ5"/>
    </sheetView>
  </sheetViews>
  <sheetFormatPr defaultRowHeight="15.75"/>
  <cols>
    <col min="1" max="1" width="14.42578125" style="60" customWidth="1"/>
    <col min="2" max="2" width="11.7109375" style="60" hidden="1" customWidth="1"/>
    <col min="3" max="3" width="10.140625" style="60" hidden="1" customWidth="1"/>
    <col min="4" max="4" width="7.5703125" style="60" hidden="1" customWidth="1"/>
    <col min="5" max="5" width="8.42578125" style="60" hidden="1" customWidth="1"/>
    <col min="6" max="7" width="9.5703125" style="60" hidden="1" customWidth="1"/>
    <col min="8" max="8" width="9.140625" style="60" hidden="1" customWidth="1"/>
    <col min="9" max="9" width="8.7109375" style="60" hidden="1" customWidth="1"/>
    <col min="10" max="10" width="10.140625" style="60" hidden="1" customWidth="1"/>
    <col min="11" max="11" width="8.7109375" style="60" hidden="1" customWidth="1"/>
    <col min="12" max="12" width="9.140625" style="60" hidden="1" customWidth="1"/>
    <col min="13" max="13" width="8.7109375" style="60" hidden="1" customWidth="1"/>
    <col min="14" max="14" width="11.42578125" style="60" hidden="1" customWidth="1"/>
    <col min="15" max="15" width="2" style="60" hidden="1" customWidth="1"/>
    <col min="16" max="16" width="8.42578125" style="60" hidden="1" customWidth="1"/>
    <col min="17" max="17" width="10" style="60" hidden="1" customWidth="1"/>
    <col min="18" max="18" width="9.85546875" style="60" hidden="1" customWidth="1"/>
    <col min="19" max="19" width="11.140625" style="60" customWidth="1"/>
    <col min="20" max="20" width="11" style="60" hidden="1" customWidth="1"/>
    <col min="21" max="21" width="7.28515625" style="60" hidden="1" customWidth="1"/>
    <col min="22" max="24" width="9.28515625" style="60" hidden="1" customWidth="1"/>
    <col min="25" max="25" width="10.140625" style="60" hidden="1" customWidth="1"/>
    <col min="26" max="26" width="9.140625" style="60" hidden="1" customWidth="1"/>
    <col min="27" max="30" width="9.140625" style="60" customWidth="1"/>
    <col min="31" max="16384" width="9.140625" style="60"/>
  </cols>
  <sheetData>
    <row r="1" spans="1:31" ht="38.25" customHeight="1">
      <c r="A1" s="232" t="s">
        <v>47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</row>
    <row r="3" spans="1:31" ht="15.75" customHeight="1">
      <c r="A3" s="205" t="s">
        <v>0</v>
      </c>
      <c r="B3" s="205" t="s">
        <v>1</v>
      </c>
      <c r="C3" s="205"/>
      <c r="D3" s="205"/>
      <c r="E3" s="205"/>
      <c r="F3" s="205" t="s">
        <v>2</v>
      </c>
      <c r="G3" s="205"/>
      <c r="H3" s="205"/>
      <c r="I3" s="205"/>
      <c r="J3" s="205" t="s">
        <v>64</v>
      </c>
      <c r="K3" s="205"/>
      <c r="L3" s="205"/>
      <c r="M3" s="205"/>
      <c r="N3" s="205" t="s">
        <v>90</v>
      </c>
      <c r="O3" s="205"/>
      <c r="P3" s="205"/>
      <c r="Q3" s="49"/>
      <c r="R3" s="216" t="s">
        <v>3</v>
      </c>
      <c r="S3" s="217" t="s">
        <v>138</v>
      </c>
      <c r="T3" s="214" t="s">
        <v>136</v>
      </c>
      <c r="U3" s="215"/>
      <c r="V3" s="215"/>
      <c r="W3" s="120"/>
      <c r="X3" s="120"/>
      <c r="Y3" s="216" t="s">
        <v>3</v>
      </c>
      <c r="Z3" s="229" t="s">
        <v>91</v>
      </c>
      <c r="AA3" s="217" t="s">
        <v>159</v>
      </c>
      <c r="AB3" s="214" t="s">
        <v>137</v>
      </c>
      <c r="AC3" s="215"/>
      <c r="AD3" s="215"/>
      <c r="AE3" s="200" t="s">
        <v>3</v>
      </c>
    </row>
    <row r="4" spans="1:31" ht="15.75" customHeight="1">
      <c r="A4" s="205"/>
      <c r="B4" s="206" t="s">
        <v>43</v>
      </c>
      <c r="C4" s="205" t="s">
        <v>4</v>
      </c>
      <c r="D4" s="205"/>
      <c r="E4" s="205"/>
      <c r="F4" s="206" t="s">
        <v>87</v>
      </c>
      <c r="G4" s="205" t="s">
        <v>4</v>
      </c>
      <c r="H4" s="205"/>
      <c r="I4" s="205"/>
      <c r="J4" s="206" t="s">
        <v>97</v>
      </c>
      <c r="K4" s="205" t="s">
        <v>4</v>
      </c>
      <c r="L4" s="205"/>
      <c r="M4" s="205"/>
      <c r="N4" s="217" t="s">
        <v>99</v>
      </c>
      <c r="O4" s="207" t="s">
        <v>4</v>
      </c>
      <c r="P4" s="208"/>
      <c r="Q4" s="118"/>
      <c r="R4" s="216"/>
      <c r="S4" s="218"/>
      <c r="T4" s="205" t="s">
        <v>4</v>
      </c>
      <c r="U4" s="205"/>
      <c r="V4" s="205"/>
      <c r="W4" s="118"/>
      <c r="X4" s="118"/>
      <c r="Y4" s="216"/>
      <c r="Z4" s="230"/>
      <c r="AA4" s="218"/>
      <c r="AB4" s="205" t="s">
        <v>4</v>
      </c>
      <c r="AC4" s="205"/>
      <c r="AD4" s="205"/>
      <c r="AE4" s="200"/>
    </row>
    <row r="5" spans="1:31" ht="108" customHeight="1">
      <c r="A5" s="205"/>
      <c r="B5" s="206"/>
      <c r="C5" s="49" t="s">
        <v>5</v>
      </c>
      <c r="D5" s="49" t="s">
        <v>6</v>
      </c>
      <c r="E5" s="49" t="s">
        <v>7</v>
      </c>
      <c r="F5" s="206"/>
      <c r="G5" s="49" t="s">
        <v>5</v>
      </c>
      <c r="H5" s="49" t="s">
        <v>6</v>
      </c>
      <c r="I5" s="49" t="s">
        <v>7</v>
      </c>
      <c r="J5" s="206"/>
      <c r="K5" s="98" t="s">
        <v>5</v>
      </c>
      <c r="L5" s="98" t="s">
        <v>6</v>
      </c>
      <c r="M5" s="98" t="s">
        <v>7</v>
      </c>
      <c r="N5" s="219"/>
      <c r="O5" s="118" t="s">
        <v>5</v>
      </c>
      <c r="P5" s="118" t="s">
        <v>6</v>
      </c>
      <c r="Q5" s="118" t="s">
        <v>7</v>
      </c>
      <c r="R5" s="216"/>
      <c r="S5" s="219"/>
      <c r="T5" s="49" t="s">
        <v>5</v>
      </c>
      <c r="U5" s="30" t="s">
        <v>98</v>
      </c>
      <c r="V5" s="49" t="s">
        <v>7</v>
      </c>
      <c r="W5" s="30" t="s">
        <v>98</v>
      </c>
      <c r="X5" s="26" t="s">
        <v>6</v>
      </c>
      <c r="Y5" s="216"/>
      <c r="Z5" s="231"/>
      <c r="AA5" s="219"/>
      <c r="AB5" s="118" t="s">
        <v>5</v>
      </c>
      <c r="AC5" s="118" t="s">
        <v>65</v>
      </c>
      <c r="AD5" s="118" t="s">
        <v>7</v>
      </c>
      <c r="AE5" s="200"/>
    </row>
    <row r="6" spans="1:31" ht="50.25" customHeight="1">
      <c r="A6" s="49" t="s">
        <v>8</v>
      </c>
      <c r="B6" s="48">
        <f t="shared" ref="B6:R6" si="0">SUM(B7:B8)</f>
        <v>6475.9</v>
      </c>
      <c r="C6" s="49">
        <f t="shared" si="0"/>
        <v>6475.7000000000007</v>
      </c>
      <c r="D6" s="49">
        <f t="shared" si="0"/>
        <v>0</v>
      </c>
      <c r="E6" s="49">
        <f t="shared" si="0"/>
        <v>0.2</v>
      </c>
      <c r="F6" s="48">
        <f t="shared" ref="F6:I6" si="1">SUM(F7:F8)</f>
        <v>17880.400000000001</v>
      </c>
      <c r="G6" s="49">
        <f t="shared" si="1"/>
        <v>13285</v>
      </c>
      <c r="H6" s="49">
        <f t="shared" si="1"/>
        <v>4594.8</v>
      </c>
      <c r="I6" s="49">
        <f t="shared" si="1"/>
        <v>0.6</v>
      </c>
      <c r="J6" s="99">
        <f t="shared" ref="J6:N6" si="2">SUM(J7:J8)</f>
        <v>21603.4</v>
      </c>
      <c r="K6" s="98">
        <f t="shared" si="2"/>
        <v>10951.7</v>
      </c>
      <c r="L6" s="98">
        <f t="shared" si="2"/>
        <v>10651.5</v>
      </c>
      <c r="M6" s="98">
        <f t="shared" si="2"/>
        <v>0.2</v>
      </c>
      <c r="N6" s="119">
        <f t="shared" si="2"/>
        <v>17708.599999999999</v>
      </c>
      <c r="O6" s="118">
        <f t="shared" si="0"/>
        <v>9611.4000000000015</v>
      </c>
      <c r="P6" s="118">
        <f t="shared" si="0"/>
        <v>8096.2</v>
      </c>
      <c r="Q6" s="118">
        <f t="shared" si="0"/>
        <v>1</v>
      </c>
      <c r="R6" s="50">
        <f t="shared" si="0"/>
        <v>11232.7</v>
      </c>
      <c r="S6" s="135">
        <f>SUM(T6:X6)</f>
        <v>9095.7000000000007</v>
      </c>
      <c r="T6" s="24">
        <f>T7+T8</f>
        <v>9095.7000000000007</v>
      </c>
      <c r="U6" s="24">
        <f t="shared" ref="U6:X6" si="3">U7+U8</f>
        <v>0</v>
      </c>
      <c r="V6" s="24">
        <f t="shared" si="3"/>
        <v>0</v>
      </c>
      <c r="W6" s="24"/>
      <c r="X6" s="24">
        <f t="shared" si="3"/>
        <v>0</v>
      </c>
      <c r="Y6" s="52">
        <f>S6-N6</f>
        <v>-8612.8999999999978</v>
      </c>
      <c r="Z6" s="51">
        <f t="shared" ref="Z6" si="4">SUM(Z7:Z8)</f>
        <v>3456.2999999999997</v>
      </c>
      <c r="AA6" s="119">
        <f>SUM(AA7:AA9)</f>
        <v>10435.900000000001</v>
      </c>
      <c r="AB6" s="24">
        <f>AB7+AB8+AB9</f>
        <v>10435.900000000001</v>
      </c>
      <c r="AC6" s="24">
        <f t="shared" ref="AC6:AD6" si="5">AC7+AC8</f>
        <v>0</v>
      </c>
      <c r="AD6" s="24">
        <f t="shared" si="5"/>
        <v>0</v>
      </c>
      <c r="AE6" s="177">
        <f>AA6-S6</f>
        <v>1340.2000000000007</v>
      </c>
    </row>
    <row r="7" spans="1:31" ht="48" customHeight="1">
      <c r="A7" s="4" t="s">
        <v>31</v>
      </c>
      <c r="B7" s="48">
        <f>SUM(C7:E7)</f>
        <v>3878.1</v>
      </c>
      <c r="C7" s="49">
        <v>3877.9</v>
      </c>
      <c r="D7" s="49"/>
      <c r="E7" s="49">
        <v>0.2</v>
      </c>
      <c r="F7" s="48">
        <f>SUM(G7:I7)</f>
        <v>3852.2</v>
      </c>
      <c r="G7" s="49">
        <v>3851.6</v>
      </c>
      <c r="H7" s="49"/>
      <c r="I7" s="49">
        <v>0.6</v>
      </c>
      <c r="J7" s="99">
        <f>SUM(K7:M7)</f>
        <v>4102</v>
      </c>
      <c r="K7" s="98">
        <v>4101.8</v>
      </c>
      <c r="L7" s="98"/>
      <c r="M7" s="98">
        <v>0.2</v>
      </c>
      <c r="N7" s="119">
        <f>SUM(O7:Q7)</f>
        <v>4226.3</v>
      </c>
      <c r="O7" s="13">
        <v>4225.3</v>
      </c>
      <c r="P7" s="118"/>
      <c r="Q7" s="118">
        <v>1</v>
      </c>
      <c r="R7" s="51">
        <f>N7-B7</f>
        <v>348.20000000000027</v>
      </c>
      <c r="S7" s="135">
        <v>5229.8999999999996</v>
      </c>
      <c r="T7" s="31">
        <v>4863.7</v>
      </c>
      <c r="U7" s="25"/>
      <c r="V7" s="25"/>
      <c r="W7" s="25"/>
      <c r="X7" s="25"/>
      <c r="Y7" s="52">
        <f>S7-N7</f>
        <v>1003.5999999999995</v>
      </c>
      <c r="Z7" s="53">
        <f>S7-B7</f>
        <v>1351.7999999999997</v>
      </c>
      <c r="AA7" s="119">
        <f>SUM(AB7:AD7)</f>
        <v>5375.3</v>
      </c>
      <c r="AB7" s="31">
        <f>5575.3-200</f>
        <v>5375.3</v>
      </c>
      <c r="AC7" s="25"/>
      <c r="AD7" s="25"/>
      <c r="AE7" s="177">
        <f t="shared" ref="AE7:AE9" si="6">AA7-S7</f>
        <v>145.40000000000055</v>
      </c>
    </row>
    <row r="8" spans="1:31" ht="56.25" customHeight="1">
      <c r="A8" s="4" t="s">
        <v>32</v>
      </c>
      <c r="B8" s="48">
        <f t="shared" ref="B8" si="7">SUM(C8:E8)</f>
        <v>2597.8000000000002</v>
      </c>
      <c r="C8" s="49">
        <v>2597.8000000000002</v>
      </c>
      <c r="D8" s="49"/>
      <c r="E8" s="49"/>
      <c r="F8" s="48">
        <f t="shared" ref="F8" si="8">SUM(G8:I8)</f>
        <v>14028.2</v>
      </c>
      <c r="G8" s="49">
        <v>9433.4</v>
      </c>
      <c r="H8" s="49">
        <v>4594.8</v>
      </c>
      <c r="I8" s="49"/>
      <c r="J8" s="99">
        <f t="shared" ref="J8" si="9">SUM(K8:M8)</f>
        <v>17501.400000000001</v>
      </c>
      <c r="K8" s="98">
        <f>710.4+6139.5</f>
        <v>6849.9</v>
      </c>
      <c r="L8" s="98">
        <v>10651.5</v>
      </c>
      <c r="M8" s="98"/>
      <c r="N8" s="119">
        <f t="shared" ref="N8" si="10">SUM(O8:Q8)</f>
        <v>13482.3</v>
      </c>
      <c r="O8" s="13">
        <v>5386.1</v>
      </c>
      <c r="P8" s="118">
        <v>8096.2</v>
      </c>
      <c r="Q8" s="118"/>
      <c r="R8" s="51">
        <f>N8-B8</f>
        <v>10884.5</v>
      </c>
      <c r="S8" s="48">
        <f>S11+S10</f>
        <v>4702.3</v>
      </c>
      <c r="T8" s="111">
        <f>T10+T11</f>
        <v>4232</v>
      </c>
      <c r="U8" s="25"/>
      <c r="V8" s="25"/>
      <c r="W8" s="25"/>
      <c r="X8" s="25"/>
      <c r="Y8" s="52">
        <f>S8-N8</f>
        <v>-8780</v>
      </c>
      <c r="Z8" s="53">
        <f>S8-B8</f>
        <v>2104.5</v>
      </c>
      <c r="AA8" s="119">
        <f>SUM(AB8:AD8)</f>
        <v>5060.6000000000004</v>
      </c>
      <c r="AB8" s="111">
        <f>AB10+AB11</f>
        <v>5060.6000000000004</v>
      </c>
      <c r="AC8" s="25"/>
      <c r="AD8" s="25"/>
      <c r="AE8" s="177">
        <f t="shared" si="6"/>
        <v>358.30000000000018</v>
      </c>
    </row>
    <row r="9" spans="1:31" ht="32.25" customHeight="1">
      <c r="A9" s="165" t="s">
        <v>140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>
        <v>112</v>
      </c>
      <c r="T9" s="23"/>
      <c r="U9" s="23"/>
      <c r="V9" s="23"/>
      <c r="W9" s="23"/>
      <c r="X9" s="23"/>
      <c r="Y9" s="23"/>
      <c r="Z9" s="23"/>
      <c r="AA9" s="164">
        <f>SUM(AB9:AD9)</f>
        <v>0</v>
      </c>
      <c r="AB9" s="23"/>
      <c r="AC9" s="23"/>
      <c r="AD9" s="23"/>
      <c r="AE9" s="177">
        <f t="shared" si="6"/>
        <v>-112</v>
      </c>
    </row>
    <row r="10" spans="1:31">
      <c r="N10" s="60" t="s">
        <v>37</v>
      </c>
      <c r="O10" s="61">
        <v>674.9</v>
      </c>
      <c r="S10" s="60">
        <v>871.1</v>
      </c>
      <c r="T10" s="60">
        <v>757.1</v>
      </c>
      <c r="AA10" s="60">
        <v>871.1</v>
      </c>
      <c r="AB10" s="60">
        <v>727.6</v>
      </c>
      <c r="AE10" s="60">
        <f>AB10-S10</f>
        <v>-143.5</v>
      </c>
    </row>
    <row r="11" spans="1:31">
      <c r="N11" s="60" t="s">
        <v>38</v>
      </c>
      <c r="O11" s="12">
        <v>4711.2</v>
      </c>
      <c r="S11" s="60">
        <v>3831.2</v>
      </c>
      <c r="T11" s="60">
        <v>3474.9</v>
      </c>
      <c r="AA11" s="60">
        <v>4333</v>
      </c>
      <c r="AB11" s="189">
        <v>4333</v>
      </c>
    </row>
    <row r="12" spans="1:31">
      <c r="N12" s="60" t="s">
        <v>107</v>
      </c>
      <c r="O12" s="61"/>
      <c r="T12" s="61"/>
    </row>
    <row r="13" spans="1:31">
      <c r="N13" s="60" t="s">
        <v>41</v>
      </c>
      <c r="O13" s="61"/>
    </row>
  </sheetData>
  <mergeCells count="24">
    <mergeCell ref="A1:AE1"/>
    <mergeCell ref="AA3:AA5"/>
    <mergeCell ref="AB3:AD3"/>
    <mergeCell ref="AE3:AE5"/>
    <mergeCell ref="AB4:AD4"/>
    <mergeCell ref="A3:A5"/>
    <mergeCell ref="B3:E3"/>
    <mergeCell ref="R3:R5"/>
    <mergeCell ref="B4:B5"/>
    <mergeCell ref="C4:E4"/>
    <mergeCell ref="N4:N5"/>
    <mergeCell ref="F3:I3"/>
    <mergeCell ref="F4:F5"/>
    <mergeCell ref="G4:I4"/>
    <mergeCell ref="N3:P3"/>
    <mergeCell ref="O4:P4"/>
    <mergeCell ref="J3:M3"/>
    <mergeCell ref="J4:J5"/>
    <mergeCell ref="K4:M4"/>
    <mergeCell ref="Z3:Z5"/>
    <mergeCell ref="S3:S5"/>
    <mergeCell ref="T3:V3"/>
    <mergeCell ref="Y3:Y5"/>
    <mergeCell ref="T4:V4"/>
  </mergeCells>
  <pageMargins left="0.23" right="0.17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"/>
  <sheetViews>
    <sheetView zoomScale="75" zoomScaleNormal="75" workbookViewId="0">
      <pane xSplit="1" ySplit="5" topLeftCell="M6" activePane="bottomRight" state="frozen"/>
      <selection pane="topRight" activeCell="B1" sqref="B1"/>
      <selection pane="bottomLeft" activeCell="A6" sqref="A6"/>
      <selection pane="bottomRight" activeCell="AB7" sqref="AB7"/>
    </sheetView>
  </sheetViews>
  <sheetFormatPr defaultRowHeight="18.75"/>
  <cols>
    <col min="1" max="1" width="13.85546875" style="88" customWidth="1"/>
    <col min="2" max="2" width="10.85546875" style="88" hidden="1" customWidth="1"/>
    <col min="3" max="3" width="9.140625" style="88" hidden="1" customWidth="1"/>
    <col min="4" max="4" width="6.42578125" style="88" hidden="1" customWidth="1"/>
    <col min="5" max="5" width="9.140625" style="88" hidden="1" customWidth="1"/>
    <col min="6" max="6" width="12.140625" style="88" hidden="1" customWidth="1"/>
    <col min="7" max="7" width="10.140625" style="88" hidden="1" customWidth="1"/>
    <col min="8" max="8" width="7.28515625" style="88" hidden="1" customWidth="1"/>
    <col min="9" max="13" width="9.7109375" style="88" hidden="1" customWidth="1"/>
    <col min="14" max="14" width="22.140625" style="88" hidden="1" customWidth="1"/>
    <col min="15" max="15" width="11.28515625" style="88" hidden="1" customWidth="1"/>
    <col min="16" max="16" width="9.5703125" style="88" hidden="1" customWidth="1"/>
    <col min="17" max="17" width="10.140625" style="88" hidden="1" customWidth="1"/>
    <col min="18" max="18" width="13.7109375" style="88" hidden="1" customWidth="1"/>
    <col min="19" max="19" width="11.7109375" style="88" customWidth="1"/>
    <col min="20" max="20" width="10.5703125" style="88" hidden="1" customWidth="1"/>
    <col min="21" max="21" width="9.140625" style="88" hidden="1" customWidth="1"/>
    <col min="22" max="23" width="12.140625" style="88" hidden="1" customWidth="1"/>
    <col min="24" max="24" width="9.140625" style="88" hidden="1" customWidth="1"/>
    <col min="25" max="26" width="10.85546875" style="88" hidden="1" customWidth="1"/>
    <col min="27" max="27" width="9.140625" style="88"/>
    <col min="28" max="30" width="9.140625" style="88" customWidth="1"/>
    <col min="31" max="16384" width="9.140625" style="88"/>
  </cols>
  <sheetData>
    <row r="1" spans="1:32" ht="60" customHeight="1">
      <c r="A1" s="220" t="s">
        <v>45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</row>
    <row r="3" spans="1:32" ht="27" customHeight="1">
      <c r="A3" s="237" t="s">
        <v>0</v>
      </c>
      <c r="B3" s="237" t="s">
        <v>1</v>
      </c>
      <c r="C3" s="237"/>
      <c r="D3" s="237"/>
      <c r="E3" s="237"/>
      <c r="F3" s="237" t="s">
        <v>2</v>
      </c>
      <c r="G3" s="237"/>
      <c r="H3" s="237"/>
      <c r="I3" s="237"/>
      <c r="J3" s="233" t="s">
        <v>64</v>
      </c>
      <c r="K3" s="234"/>
      <c r="L3" s="234"/>
      <c r="M3" s="235"/>
      <c r="N3" s="237" t="s">
        <v>90</v>
      </c>
      <c r="O3" s="237"/>
      <c r="P3" s="237"/>
      <c r="Q3" s="237"/>
      <c r="R3" s="246" t="s">
        <v>3</v>
      </c>
      <c r="S3" s="241" t="s">
        <v>139</v>
      </c>
      <c r="T3" s="244" t="s">
        <v>136</v>
      </c>
      <c r="U3" s="245"/>
      <c r="V3" s="245"/>
      <c r="W3" s="124"/>
      <c r="X3" s="124"/>
      <c r="Y3" s="246" t="s">
        <v>3</v>
      </c>
      <c r="Z3" s="238" t="s">
        <v>91</v>
      </c>
      <c r="AA3" s="241" t="s">
        <v>160</v>
      </c>
      <c r="AB3" s="244" t="s">
        <v>161</v>
      </c>
      <c r="AC3" s="245"/>
      <c r="AD3" s="245"/>
      <c r="AE3" s="247" t="s">
        <v>3</v>
      </c>
    </row>
    <row r="4" spans="1:32" ht="15.75" customHeight="1">
      <c r="A4" s="237"/>
      <c r="B4" s="236" t="s">
        <v>43</v>
      </c>
      <c r="C4" s="237" t="s">
        <v>4</v>
      </c>
      <c r="D4" s="237"/>
      <c r="E4" s="237"/>
      <c r="F4" s="236" t="s">
        <v>87</v>
      </c>
      <c r="G4" s="237" t="s">
        <v>4</v>
      </c>
      <c r="H4" s="237"/>
      <c r="I4" s="237"/>
      <c r="J4" s="236" t="s">
        <v>97</v>
      </c>
      <c r="K4" s="237" t="s">
        <v>4</v>
      </c>
      <c r="L4" s="237"/>
      <c r="M4" s="237"/>
      <c r="N4" s="236" t="s">
        <v>106</v>
      </c>
      <c r="O4" s="237" t="s">
        <v>4</v>
      </c>
      <c r="P4" s="237"/>
      <c r="Q4" s="237"/>
      <c r="R4" s="246"/>
      <c r="S4" s="242"/>
      <c r="T4" s="237" t="s">
        <v>4</v>
      </c>
      <c r="U4" s="237"/>
      <c r="V4" s="237"/>
      <c r="W4" s="122"/>
      <c r="X4" s="122"/>
      <c r="Y4" s="246"/>
      <c r="Z4" s="239"/>
      <c r="AA4" s="242"/>
      <c r="AB4" s="237" t="s">
        <v>4</v>
      </c>
      <c r="AC4" s="237"/>
      <c r="AD4" s="237"/>
      <c r="AE4" s="247"/>
    </row>
    <row r="5" spans="1:32" ht="126.75" customHeight="1">
      <c r="A5" s="237"/>
      <c r="B5" s="236"/>
      <c r="C5" s="76" t="s">
        <v>5</v>
      </c>
      <c r="D5" s="76" t="s">
        <v>6</v>
      </c>
      <c r="E5" s="76" t="s">
        <v>7</v>
      </c>
      <c r="F5" s="236"/>
      <c r="G5" s="76" t="s">
        <v>5</v>
      </c>
      <c r="H5" s="76" t="s">
        <v>6</v>
      </c>
      <c r="I5" s="76" t="s">
        <v>7</v>
      </c>
      <c r="J5" s="236"/>
      <c r="K5" s="101" t="s">
        <v>5</v>
      </c>
      <c r="L5" s="101" t="s">
        <v>6</v>
      </c>
      <c r="M5" s="101" t="s">
        <v>7</v>
      </c>
      <c r="N5" s="236"/>
      <c r="O5" s="76" t="s">
        <v>5</v>
      </c>
      <c r="P5" s="122" t="s">
        <v>6</v>
      </c>
      <c r="Q5" s="122" t="s">
        <v>7</v>
      </c>
      <c r="R5" s="246"/>
      <c r="S5" s="243"/>
      <c r="T5" s="76" t="s">
        <v>5</v>
      </c>
      <c r="U5" s="77" t="s">
        <v>98</v>
      </c>
      <c r="V5" s="76" t="s">
        <v>7</v>
      </c>
      <c r="W5" s="77" t="s">
        <v>98</v>
      </c>
      <c r="X5" s="78" t="s">
        <v>6</v>
      </c>
      <c r="Y5" s="246"/>
      <c r="Z5" s="240"/>
      <c r="AA5" s="243"/>
      <c r="AB5" s="122" t="s">
        <v>5</v>
      </c>
      <c r="AC5" s="122" t="s">
        <v>65</v>
      </c>
      <c r="AD5" s="122" t="s">
        <v>7</v>
      </c>
      <c r="AE5" s="247"/>
    </row>
    <row r="6" spans="1:32" ht="47.25" customHeight="1">
      <c r="A6" s="76" t="s">
        <v>8</v>
      </c>
      <c r="B6" s="79">
        <f t="shared" ref="B6:R6" si="0">SUM(B7:B7)</f>
        <v>683.7</v>
      </c>
      <c r="C6" s="76">
        <f t="shared" si="0"/>
        <v>683</v>
      </c>
      <c r="D6" s="76">
        <f t="shared" si="0"/>
        <v>0</v>
      </c>
      <c r="E6" s="76">
        <f t="shared" si="0"/>
        <v>0.7</v>
      </c>
      <c r="F6" s="79">
        <f t="shared" si="0"/>
        <v>692.6</v>
      </c>
      <c r="G6" s="76">
        <f t="shared" si="0"/>
        <v>691.9</v>
      </c>
      <c r="H6" s="76">
        <f t="shared" si="0"/>
        <v>0</v>
      </c>
      <c r="I6" s="76">
        <f t="shared" si="0"/>
        <v>0.7</v>
      </c>
      <c r="J6" s="102">
        <f t="shared" si="0"/>
        <v>723.4</v>
      </c>
      <c r="K6" s="101">
        <f t="shared" si="0"/>
        <v>722.9</v>
      </c>
      <c r="L6" s="101">
        <f t="shared" si="0"/>
        <v>0</v>
      </c>
      <c r="M6" s="101">
        <f t="shared" si="0"/>
        <v>0.5</v>
      </c>
      <c r="N6" s="123">
        <f t="shared" si="0"/>
        <v>682.8</v>
      </c>
      <c r="O6" s="76">
        <f t="shared" si="0"/>
        <v>682.3</v>
      </c>
      <c r="P6" s="77">
        <f t="shared" si="0"/>
        <v>0</v>
      </c>
      <c r="Q6" s="76">
        <f t="shared" si="0"/>
        <v>0.5</v>
      </c>
      <c r="R6" s="80">
        <f t="shared" si="0"/>
        <v>-0.90000000000009095</v>
      </c>
      <c r="S6" s="139">
        <f>SUM(S7:S22)</f>
        <v>567.70000000000005</v>
      </c>
      <c r="T6" s="81">
        <f>T7+T8</f>
        <v>446.1</v>
      </c>
      <c r="U6" s="81">
        <f t="shared" ref="U6:V6" si="1">U7</f>
        <v>0</v>
      </c>
      <c r="V6" s="81">
        <f t="shared" si="1"/>
        <v>0</v>
      </c>
      <c r="W6" s="81"/>
      <c r="X6" s="81"/>
      <c r="Y6" s="82">
        <f>S6-N6</f>
        <v>-115.09999999999991</v>
      </c>
      <c r="Z6" s="83">
        <f>Z7</f>
        <v>-136</v>
      </c>
      <c r="AA6" s="123">
        <f>SUM(AA7:AA22)</f>
        <v>603.5</v>
      </c>
      <c r="AB6" s="81">
        <f>AB7+AB8</f>
        <v>603.5</v>
      </c>
      <c r="AC6" s="81">
        <f t="shared" ref="AC6:AD6" si="2">AC7+AC8</f>
        <v>0</v>
      </c>
      <c r="AD6" s="81">
        <f t="shared" si="2"/>
        <v>0</v>
      </c>
      <c r="AE6" s="178">
        <f>AA6-S6</f>
        <v>35.799999999999955</v>
      </c>
    </row>
    <row r="7" spans="1:32" ht="91.5" customHeight="1">
      <c r="A7" s="84" t="s">
        <v>33</v>
      </c>
      <c r="B7" s="79">
        <f>C7+E7</f>
        <v>683.7</v>
      </c>
      <c r="C7" s="76">
        <v>683</v>
      </c>
      <c r="D7" s="76"/>
      <c r="E7" s="76">
        <v>0.7</v>
      </c>
      <c r="F7" s="79">
        <f>G7+I7</f>
        <v>692.6</v>
      </c>
      <c r="G7" s="76">
        <v>691.9</v>
      </c>
      <c r="H7" s="76"/>
      <c r="I7" s="76">
        <v>0.7</v>
      </c>
      <c r="J7" s="102">
        <f>K7+M7</f>
        <v>723.4</v>
      </c>
      <c r="K7" s="101">
        <v>722.9</v>
      </c>
      <c r="L7" s="101"/>
      <c r="M7" s="101">
        <v>0.5</v>
      </c>
      <c r="N7" s="123">
        <f>O7+Q7</f>
        <v>682.8</v>
      </c>
      <c r="O7" s="85">
        <v>682.3</v>
      </c>
      <c r="P7" s="77"/>
      <c r="Q7" s="76">
        <v>0.5</v>
      </c>
      <c r="R7" s="86">
        <f>N7-B7</f>
        <v>-0.90000000000009095</v>
      </c>
      <c r="S7" s="139">
        <v>547.70000000000005</v>
      </c>
      <c r="T7" s="87">
        <v>426.1</v>
      </c>
      <c r="U7" s="87"/>
      <c r="V7" s="87"/>
      <c r="W7" s="87"/>
      <c r="X7" s="87"/>
      <c r="Y7" s="82">
        <f>S7-N7</f>
        <v>-135.09999999999991</v>
      </c>
      <c r="Z7" s="89">
        <f>S7-B7</f>
        <v>-136</v>
      </c>
      <c r="AA7" s="123">
        <f>SUM(AB7:AD7)</f>
        <v>583.5</v>
      </c>
      <c r="AB7" s="87">
        <v>583.5</v>
      </c>
      <c r="AC7" s="87"/>
      <c r="AD7" s="87"/>
      <c r="AE7" s="178">
        <f>AA7-S7</f>
        <v>35.799999999999955</v>
      </c>
      <c r="AF7" s="88" t="s">
        <v>172</v>
      </c>
    </row>
    <row r="8" spans="1:32">
      <c r="A8" s="134" t="s">
        <v>14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>
        <v>20</v>
      </c>
      <c r="T8" s="134">
        <v>20</v>
      </c>
      <c r="U8" s="134"/>
      <c r="V8" s="134"/>
      <c r="W8" s="134"/>
      <c r="X8" s="134"/>
      <c r="Y8" s="134"/>
      <c r="Z8" s="134"/>
      <c r="AA8" s="125">
        <f>SUM(AB8:AD8)</f>
        <v>20</v>
      </c>
      <c r="AB8" s="134">
        <v>20</v>
      </c>
      <c r="AC8" s="134"/>
      <c r="AD8" s="134"/>
      <c r="AE8" s="178"/>
    </row>
  </sheetData>
  <mergeCells count="24">
    <mergeCell ref="A1:AE1"/>
    <mergeCell ref="AA3:AA5"/>
    <mergeCell ref="AB3:AD3"/>
    <mergeCell ref="AE3:AE5"/>
    <mergeCell ref="AB4:AD4"/>
    <mergeCell ref="A3:A5"/>
    <mergeCell ref="B3:E3"/>
    <mergeCell ref="R3:R5"/>
    <mergeCell ref="B4:B5"/>
    <mergeCell ref="C4:E4"/>
    <mergeCell ref="N4:N5"/>
    <mergeCell ref="F3:I3"/>
    <mergeCell ref="F4:F5"/>
    <mergeCell ref="G4:I4"/>
    <mergeCell ref="N3:Q3"/>
    <mergeCell ref="O4:Q4"/>
    <mergeCell ref="J3:M3"/>
    <mergeCell ref="J4:J5"/>
    <mergeCell ref="K4:M4"/>
    <mergeCell ref="Z3:Z5"/>
    <mergeCell ref="S3:S5"/>
    <mergeCell ref="T3:V3"/>
    <mergeCell ref="Y3:Y5"/>
    <mergeCell ref="T4:V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B7" sqref="AB7:AB8"/>
    </sheetView>
  </sheetViews>
  <sheetFormatPr defaultRowHeight="18.75"/>
  <cols>
    <col min="1" max="1" width="12.140625" style="88" customWidth="1"/>
    <col min="2" max="2" width="10.7109375" style="88" hidden="1" customWidth="1"/>
    <col min="3" max="3" width="10.28515625" style="88" hidden="1" customWidth="1"/>
    <col min="4" max="4" width="8.85546875" style="88" hidden="1" customWidth="1"/>
    <col min="5" max="6" width="9.5703125" style="88" hidden="1" customWidth="1"/>
    <col min="7" max="7" width="11" style="88" hidden="1" customWidth="1"/>
    <col min="8" max="8" width="7.42578125" style="88" hidden="1" customWidth="1"/>
    <col min="9" max="9" width="9.5703125" style="88" hidden="1" customWidth="1"/>
    <col min="10" max="10" width="11" style="88" hidden="1" customWidth="1"/>
    <col min="11" max="11" width="10.7109375" style="88" hidden="1" customWidth="1"/>
    <col min="12" max="12" width="10.5703125" style="88" hidden="1" customWidth="1"/>
    <col min="13" max="13" width="9.5703125" style="88" hidden="1" customWidth="1"/>
    <col min="14" max="14" width="15" style="88" hidden="1" customWidth="1"/>
    <col min="15" max="15" width="10.140625" style="88" hidden="1" customWidth="1"/>
    <col min="16" max="16" width="10.85546875" style="88" hidden="1" customWidth="1"/>
    <col min="17" max="17" width="9.140625" style="88" hidden="1" customWidth="1"/>
    <col min="18" max="18" width="14.5703125" style="88" hidden="1" customWidth="1"/>
    <col min="19" max="19" width="15.140625" style="88" customWidth="1"/>
    <col min="20" max="20" width="12" style="88" hidden="1" customWidth="1"/>
    <col min="21" max="21" width="7.42578125" style="88" hidden="1" customWidth="1"/>
    <col min="22" max="24" width="9.140625" style="88" hidden="1" customWidth="1"/>
    <col min="25" max="25" width="9.85546875" style="88" hidden="1" customWidth="1"/>
    <col min="26" max="26" width="9.140625" style="88" hidden="1" customWidth="1"/>
    <col min="27" max="27" width="13.42578125" style="88" customWidth="1"/>
    <col min="28" max="28" width="12.5703125" style="88" customWidth="1"/>
    <col min="29" max="30" width="9.140625" style="88" customWidth="1"/>
    <col min="31" max="16384" width="9.140625" style="88"/>
  </cols>
  <sheetData>
    <row r="1" spans="1:32" ht="35.25" customHeight="1">
      <c r="A1" s="220" t="s">
        <v>46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</row>
    <row r="3" spans="1:32" ht="15.75" customHeight="1">
      <c r="A3" s="237" t="s">
        <v>0</v>
      </c>
      <c r="B3" s="237" t="s">
        <v>1</v>
      </c>
      <c r="C3" s="237"/>
      <c r="D3" s="237"/>
      <c r="E3" s="237"/>
      <c r="F3" s="237" t="s">
        <v>2</v>
      </c>
      <c r="G3" s="237"/>
      <c r="H3" s="237"/>
      <c r="I3" s="237"/>
      <c r="J3" s="237" t="s">
        <v>64</v>
      </c>
      <c r="K3" s="237"/>
      <c r="L3" s="237"/>
      <c r="M3" s="237"/>
      <c r="N3" s="237" t="s">
        <v>90</v>
      </c>
      <c r="O3" s="237"/>
      <c r="P3" s="237"/>
      <c r="Q3" s="237"/>
      <c r="R3" s="246" t="s">
        <v>3</v>
      </c>
      <c r="S3" s="241" t="s">
        <v>139</v>
      </c>
      <c r="T3" s="244" t="s">
        <v>136</v>
      </c>
      <c r="U3" s="245"/>
      <c r="V3" s="245"/>
      <c r="W3" s="124"/>
      <c r="X3" s="124"/>
      <c r="Y3" s="246" t="s">
        <v>3</v>
      </c>
      <c r="Z3" s="238" t="s">
        <v>91</v>
      </c>
      <c r="AA3" s="241" t="s">
        <v>160</v>
      </c>
      <c r="AB3" s="244" t="s">
        <v>161</v>
      </c>
      <c r="AC3" s="245"/>
      <c r="AD3" s="245"/>
      <c r="AE3" s="247" t="s">
        <v>3</v>
      </c>
    </row>
    <row r="4" spans="1:32" ht="15.75" customHeight="1">
      <c r="A4" s="237"/>
      <c r="B4" s="236" t="s">
        <v>43</v>
      </c>
      <c r="C4" s="237" t="s">
        <v>4</v>
      </c>
      <c r="D4" s="237"/>
      <c r="E4" s="237"/>
      <c r="F4" s="236" t="s">
        <v>87</v>
      </c>
      <c r="G4" s="237" t="s">
        <v>4</v>
      </c>
      <c r="H4" s="237"/>
      <c r="I4" s="237"/>
      <c r="J4" s="236" t="s">
        <v>97</v>
      </c>
      <c r="K4" s="237" t="s">
        <v>4</v>
      </c>
      <c r="L4" s="237"/>
      <c r="M4" s="237"/>
      <c r="N4" s="236" t="s">
        <v>106</v>
      </c>
      <c r="O4" s="237" t="s">
        <v>4</v>
      </c>
      <c r="P4" s="237"/>
      <c r="Q4" s="237"/>
      <c r="R4" s="246"/>
      <c r="S4" s="242"/>
      <c r="T4" s="237" t="s">
        <v>4</v>
      </c>
      <c r="U4" s="237"/>
      <c r="V4" s="237"/>
      <c r="W4" s="122"/>
      <c r="X4" s="122"/>
      <c r="Y4" s="246"/>
      <c r="Z4" s="239"/>
      <c r="AA4" s="242"/>
      <c r="AB4" s="237" t="s">
        <v>4</v>
      </c>
      <c r="AC4" s="237"/>
      <c r="AD4" s="237"/>
      <c r="AE4" s="247"/>
    </row>
    <row r="5" spans="1:32" ht="105" customHeight="1">
      <c r="A5" s="237"/>
      <c r="B5" s="236"/>
      <c r="C5" s="76" t="s">
        <v>5</v>
      </c>
      <c r="D5" s="76" t="s">
        <v>6</v>
      </c>
      <c r="E5" s="76" t="s">
        <v>7</v>
      </c>
      <c r="F5" s="236"/>
      <c r="G5" s="76" t="s">
        <v>5</v>
      </c>
      <c r="H5" s="76" t="s">
        <v>6</v>
      </c>
      <c r="I5" s="76" t="s">
        <v>7</v>
      </c>
      <c r="J5" s="236"/>
      <c r="K5" s="101" t="s">
        <v>5</v>
      </c>
      <c r="L5" s="101" t="s">
        <v>6</v>
      </c>
      <c r="M5" s="101" t="s">
        <v>7</v>
      </c>
      <c r="N5" s="236"/>
      <c r="O5" s="76" t="s">
        <v>5</v>
      </c>
      <c r="P5" s="122" t="s">
        <v>6</v>
      </c>
      <c r="Q5" s="122" t="s">
        <v>7</v>
      </c>
      <c r="R5" s="246"/>
      <c r="S5" s="243"/>
      <c r="T5" s="76" t="s">
        <v>5</v>
      </c>
      <c r="U5" s="77" t="s">
        <v>98</v>
      </c>
      <c r="V5" s="76" t="s">
        <v>7</v>
      </c>
      <c r="W5" s="122" t="s">
        <v>98</v>
      </c>
      <c r="X5" s="78" t="s">
        <v>6</v>
      </c>
      <c r="Y5" s="246"/>
      <c r="Z5" s="240"/>
      <c r="AA5" s="243"/>
      <c r="AB5" s="122" t="s">
        <v>5</v>
      </c>
      <c r="AC5" s="122" t="s">
        <v>65</v>
      </c>
      <c r="AD5" s="122" t="s">
        <v>7</v>
      </c>
      <c r="AE5" s="247"/>
    </row>
    <row r="6" spans="1:32" s="91" customFormat="1" ht="56.25" customHeight="1">
      <c r="A6" s="79" t="s">
        <v>8</v>
      </c>
      <c r="B6" s="79">
        <f t="shared" ref="B6:P6" si="0">SUM(B7:B8)</f>
        <v>1272.0999999999999</v>
      </c>
      <c r="C6" s="79">
        <f t="shared" si="0"/>
        <v>1272.0999999999999</v>
      </c>
      <c r="D6" s="79">
        <f t="shared" si="0"/>
        <v>0</v>
      </c>
      <c r="E6" s="79">
        <f t="shared" si="0"/>
        <v>0</v>
      </c>
      <c r="F6" s="79">
        <f t="shared" ref="F6:I6" si="1">SUM(F7:F8)</f>
        <v>1186.6000000000001</v>
      </c>
      <c r="G6" s="79">
        <f t="shared" si="1"/>
        <v>1142.8</v>
      </c>
      <c r="H6" s="79">
        <f t="shared" si="1"/>
        <v>43.8</v>
      </c>
      <c r="I6" s="79">
        <f t="shared" si="1"/>
        <v>0</v>
      </c>
      <c r="J6" s="102">
        <f t="shared" ref="J6:N6" si="2">SUM(J7:J8)</f>
        <v>1340.6</v>
      </c>
      <c r="K6" s="102">
        <f t="shared" si="2"/>
        <v>1272.0999999999999</v>
      </c>
      <c r="L6" s="102">
        <f t="shared" si="2"/>
        <v>68.400000000000006</v>
      </c>
      <c r="M6" s="102">
        <f t="shared" si="2"/>
        <v>0.1</v>
      </c>
      <c r="N6" s="123">
        <f t="shared" si="2"/>
        <v>1225.9000000000001</v>
      </c>
      <c r="O6" s="79">
        <f t="shared" si="0"/>
        <v>1224.3</v>
      </c>
      <c r="P6" s="90">
        <f t="shared" si="0"/>
        <v>0</v>
      </c>
      <c r="Q6" s="81">
        <f t="shared" ref="Q6" si="3">Q7+Q8</f>
        <v>1.6</v>
      </c>
      <c r="R6" s="86">
        <f>SUM(R7:R8)</f>
        <v>-46.199999999999932</v>
      </c>
      <c r="S6" s="79">
        <f>SUM(S7:S22)</f>
        <v>1695</v>
      </c>
      <c r="T6" s="81">
        <f>T7+T8</f>
        <v>1588.5</v>
      </c>
      <c r="U6" s="81">
        <f t="shared" ref="U6:V6" si="4">U7+U8</f>
        <v>0</v>
      </c>
      <c r="V6" s="81">
        <f t="shared" si="4"/>
        <v>0</v>
      </c>
      <c r="W6" s="81"/>
      <c r="X6" s="81"/>
      <c r="Y6" s="89">
        <f>S6-N6</f>
        <v>469.09999999999991</v>
      </c>
      <c r="Z6" s="86">
        <f>SUM(Z7:Z22)</f>
        <v>422.90000000000009</v>
      </c>
      <c r="AA6" s="123">
        <f>SUM(AA7:AA22)</f>
        <v>1810.5</v>
      </c>
      <c r="AB6" s="81">
        <f>AB7+AB8</f>
        <v>1810.5</v>
      </c>
      <c r="AC6" s="81">
        <f t="shared" ref="AC6:AD6" si="5">AC7+AC8</f>
        <v>0</v>
      </c>
      <c r="AD6" s="81">
        <f t="shared" si="5"/>
        <v>0</v>
      </c>
      <c r="AE6" s="179">
        <f>AA6-S6</f>
        <v>115.5</v>
      </c>
      <c r="AF6" s="91" t="s">
        <v>173</v>
      </c>
    </row>
    <row r="7" spans="1:32" ht="57.75" customHeight="1">
      <c r="A7" s="84" t="s">
        <v>34</v>
      </c>
      <c r="B7" s="79">
        <f>SUM(C7:E7)</f>
        <v>685.3</v>
      </c>
      <c r="C7" s="76">
        <v>685.3</v>
      </c>
      <c r="D7" s="76"/>
      <c r="E7" s="76"/>
      <c r="F7" s="79">
        <f>SUM(G7:I7)</f>
        <v>710.2</v>
      </c>
      <c r="G7" s="76">
        <v>686.5</v>
      </c>
      <c r="H7" s="76">
        <v>23.7</v>
      </c>
      <c r="I7" s="76"/>
      <c r="J7" s="102">
        <f>SUM(K7:M7)</f>
        <v>759.6</v>
      </c>
      <c r="K7" s="101">
        <v>759.6</v>
      </c>
      <c r="L7" s="101"/>
      <c r="M7" s="101"/>
      <c r="N7" s="123">
        <f>SUM(O7:Q7)</f>
        <v>706.5</v>
      </c>
      <c r="O7" s="85">
        <v>706.5</v>
      </c>
      <c r="P7" s="77"/>
      <c r="Q7" s="87"/>
      <c r="R7" s="86">
        <f>N7-B7</f>
        <v>21.200000000000045</v>
      </c>
      <c r="S7" s="79">
        <v>1021.4</v>
      </c>
      <c r="T7" s="87">
        <v>955.7</v>
      </c>
      <c r="U7" s="87"/>
      <c r="V7" s="87"/>
      <c r="W7" s="87"/>
      <c r="X7" s="87"/>
      <c r="Y7" s="82">
        <f>S7-N7</f>
        <v>314.89999999999998</v>
      </c>
      <c r="Z7" s="82">
        <f>S7-B7</f>
        <v>336.1</v>
      </c>
      <c r="AA7" s="123">
        <f>SUM(AB7:AD7)</f>
        <v>1092.9000000000001</v>
      </c>
      <c r="AB7" s="87">
        <v>1092.9000000000001</v>
      </c>
      <c r="AC7" s="87"/>
      <c r="AD7" s="87"/>
      <c r="AE7" s="179">
        <f t="shared" ref="AE7:AE8" si="6">AA7-S7</f>
        <v>71.500000000000114</v>
      </c>
    </row>
    <row r="8" spans="1:32" ht="53.25" customHeight="1">
      <c r="A8" s="84" t="s">
        <v>35</v>
      </c>
      <c r="B8" s="79">
        <f t="shared" ref="B8" si="7">SUM(C8:E8)</f>
        <v>586.79999999999995</v>
      </c>
      <c r="C8" s="76">
        <v>586.79999999999995</v>
      </c>
      <c r="D8" s="76"/>
      <c r="E8" s="76"/>
      <c r="F8" s="79">
        <f t="shared" ref="F8" si="8">SUM(G8:I8)</f>
        <v>476.40000000000003</v>
      </c>
      <c r="G8" s="76">
        <v>456.3</v>
      </c>
      <c r="H8" s="76">
        <v>20.100000000000001</v>
      </c>
      <c r="I8" s="76"/>
      <c r="J8" s="102">
        <f t="shared" ref="J8" si="9">SUM(K8:M8)</f>
        <v>581</v>
      </c>
      <c r="K8" s="101">
        <v>512.5</v>
      </c>
      <c r="L8" s="101">
        <v>68.400000000000006</v>
      </c>
      <c r="M8" s="101">
        <v>0.1</v>
      </c>
      <c r="N8" s="123">
        <f>SUM(O8:Q8)</f>
        <v>519.4</v>
      </c>
      <c r="O8" s="85">
        <v>517.79999999999995</v>
      </c>
      <c r="P8" s="77"/>
      <c r="Q8" s="87">
        <v>1.6</v>
      </c>
      <c r="R8" s="86">
        <f>N8-B8</f>
        <v>-67.399999999999977</v>
      </c>
      <c r="S8" s="79">
        <v>673.6</v>
      </c>
      <c r="T8" s="87">
        <f>586.8+46</f>
        <v>632.79999999999995</v>
      </c>
      <c r="U8" s="87"/>
      <c r="V8" s="87"/>
      <c r="W8" s="87"/>
      <c r="X8" s="87"/>
      <c r="Y8" s="82">
        <f>S8-N8</f>
        <v>154.20000000000005</v>
      </c>
      <c r="Z8" s="82">
        <f>S8-B8</f>
        <v>86.800000000000068</v>
      </c>
      <c r="AA8" s="123">
        <f>SUM(AB8:AD8)</f>
        <v>717.6</v>
      </c>
      <c r="AB8" s="87">
        <v>717.6</v>
      </c>
      <c r="AC8" s="87"/>
      <c r="AD8" s="87"/>
      <c r="AE8" s="179">
        <f t="shared" si="6"/>
        <v>44</v>
      </c>
    </row>
  </sheetData>
  <mergeCells count="24">
    <mergeCell ref="A1:AE1"/>
    <mergeCell ref="AA3:AA5"/>
    <mergeCell ref="AB3:AD3"/>
    <mergeCell ref="AE3:AE5"/>
    <mergeCell ref="AB4:AD4"/>
    <mergeCell ref="A3:A5"/>
    <mergeCell ref="B3:E3"/>
    <mergeCell ref="R3:R5"/>
    <mergeCell ref="B4:B5"/>
    <mergeCell ref="C4:E4"/>
    <mergeCell ref="N4:N5"/>
    <mergeCell ref="F3:I3"/>
    <mergeCell ref="F4:F5"/>
    <mergeCell ref="G4:I4"/>
    <mergeCell ref="N3:Q3"/>
    <mergeCell ref="O4:Q4"/>
    <mergeCell ref="J3:M3"/>
    <mergeCell ref="J4:J5"/>
    <mergeCell ref="K4:M4"/>
    <mergeCell ref="Z3:Z5"/>
    <mergeCell ref="S3:S5"/>
    <mergeCell ref="T3:V3"/>
    <mergeCell ref="Y3:Y5"/>
    <mergeCell ref="T4:V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workbookViewId="0">
      <pane xSplit="5" ySplit="5" topLeftCell="M6" activePane="bottomRight" state="frozen"/>
      <selection pane="topRight" activeCell="F1" sqref="F1"/>
      <selection pane="bottomLeft" activeCell="A6" sqref="A6"/>
      <selection pane="bottomRight" activeCell="P23" sqref="P23:P38"/>
    </sheetView>
  </sheetViews>
  <sheetFormatPr defaultRowHeight="15.75"/>
  <cols>
    <col min="1" max="1" width="26.5703125" style="8" customWidth="1"/>
    <col min="2" max="2" width="16.5703125" style="8" hidden="1" customWidth="1"/>
    <col min="3" max="4" width="9.140625" style="8" hidden="1" customWidth="1"/>
    <col min="5" max="5" width="11.42578125" style="8" hidden="1" customWidth="1"/>
    <col min="6" max="6" width="12.140625" style="8" hidden="1" customWidth="1"/>
    <col min="7" max="7" width="9.5703125" style="8" hidden="1" customWidth="1"/>
    <col min="8" max="8" width="0" style="8" hidden="1" customWidth="1"/>
    <col min="9" max="9" width="11.42578125" style="8" hidden="1" customWidth="1"/>
    <col min="10" max="11" width="0" style="8" hidden="1" customWidth="1"/>
    <col min="12" max="12" width="14.28515625" style="8" hidden="1" customWidth="1"/>
    <col min="13" max="18" width="11.42578125" style="8" customWidth="1"/>
    <col min="19" max="23" width="11.5703125" style="8" hidden="1" customWidth="1"/>
    <col min="24" max="24" width="13" style="8" hidden="1" customWidth="1"/>
    <col min="25" max="25" width="12" style="8" hidden="1" customWidth="1"/>
    <col min="26" max="27" width="0" style="8" hidden="1" customWidth="1"/>
    <col min="28" max="28" width="10.140625" style="8" hidden="1" customWidth="1"/>
    <col min="29" max="29" width="0" style="8" hidden="1" customWidth="1"/>
    <col min="30" max="16384" width="9.140625" style="8"/>
  </cols>
  <sheetData>
    <row r="1" spans="1:29" ht="22.5" customHeight="1">
      <c r="A1" s="251" t="s">
        <v>63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145"/>
      <c r="O1" s="145"/>
      <c r="P1" s="145"/>
      <c r="Q1" s="159"/>
      <c r="R1" s="145"/>
    </row>
    <row r="3" spans="1:29">
      <c r="A3" s="205" t="s">
        <v>0</v>
      </c>
      <c r="B3" s="205" t="s">
        <v>1</v>
      </c>
      <c r="C3" s="205"/>
      <c r="D3" s="205"/>
      <c r="E3" s="205"/>
      <c r="F3" s="206" t="s">
        <v>105</v>
      </c>
      <c r="G3" s="206"/>
      <c r="H3" s="206"/>
      <c r="I3" s="206"/>
      <c r="J3" s="206"/>
      <c r="K3" s="57"/>
      <c r="L3" s="214" t="s">
        <v>3</v>
      </c>
      <c r="M3" s="255">
        <v>2024</v>
      </c>
      <c r="N3" s="255"/>
      <c r="O3" s="255"/>
      <c r="P3" s="255"/>
      <c r="Q3" s="255"/>
      <c r="R3" s="255"/>
      <c r="S3" s="252">
        <v>2024</v>
      </c>
      <c r="T3" s="146"/>
      <c r="U3" s="146"/>
      <c r="V3" s="146"/>
      <c r="W3" s="146"/>
      <c r="X3" s="252">
        <v>2025</v>
      </c>
      <c r="Y3" s="22"/>
      <c r="Z3" s="22"/>
      <c r="AA3" s="22"/>
      <c r="AB3" s="22"/>
      <c r="AC3" s="248">
        <v>2022</v>
      </c>
    </row>
    <row r="4" spans="1:29" ht="15.75" customHeight="1">
      <c r="A4" s="205"/>
      <c r="B4" s="206" t="s">
        <v>43</v>
      </c>
      <c r="C4" s="205" t="s">
        <v>4</v>
      </c>
      <c r="D4" s="205"/>
      <c r="E4" s="205"/>
      <c r="F4" s="206" t="s">
        <v>112</v>
      </c>
      <c r="G4" s="205" t="s">
        <v>4</v>
      </c>
      <c r="H4" s="205"/>
      <c r="I4" s="205"/>
      <c r="J4" s="205"/>
      <c r="K4" s="57"/>
      <c r="L4" s="214"/>
      <c r="M4" s="70"/>
      <c r="N4" s="147"/>
      <c r="O4" s="147"/>
      <c r="P4" s="147"/>
      <c r="Q4" s="160"/>
      <c r="R4" s="147"/>
      <c r="S4" s="253"/>
      <c r="T4" s="147"/>
      <c r="U4" s="147"/>
      <c r="V4" s="147"/>
      <c r="W4" s="147"/>
      <c r="X4" s="253"/>
      <c r="Y4" s="22"/>
      <c r="Z4" s="22"/>
      <c r="AA4" s="22"/>
      <c r="AB4" s="22"/>
      <c r="AC4" s="249"/>
    </row>
    <row r="5" spans="1:29" ht="63">
      <c r="A5" s="205"/>
      <c r="B5" s="206"/>
      <c r="C5" s="57" t="s">
        <v>5</v>
      </c>
      <c r="D5" s="57" t="s">
        <v>6</v>
      </c>
      <c r="E5" s="57" t="s">
        <v>7</v>
      </c>
      <c r="F5" s="206"/>
      <c r="G5" s="57" t="s">
        <v>5</v>
      </c>
      <c r="H5" s="11" t="s">
        <v>88</v>
      </c>
      <c r="I5" s="57" t="s">
        <v>7</v>
      </c>
      <c r="K5" s="8" t="s">
        <v>6</v>
      </c>
      <c r="L5" s="214"/>
      <c r="M5" s="161" t="s">
        <v>132</v>
      </c>
      <c r="N5" s="161" t="s">
        <v>129</v>
      </c>
      <c r="O5" s="148" t="s">
        <v>113</v>
      </c>
      <c r="P5" s="148" t="s">
        <v>114</v>
      </c>
      <c r="Q5" s="161" t="s">
        <v>134</v>
      </c>
      <c r="R5" s="148" t="s">
        <v>115</v>
      </c>
      <c r="S5" s="254"/>
      <c r="T5" s="161" t="s">
        <v>130</v>
      </c>
      <c r="U5" s="148" t="s">
        <v>113</v>
      </c>
      <c r="V5" s="148" t="s">
        <v>114</v>
      </c>
      <c r="W5" s="148" t="s">
        <v>115</v>
      </c>
      <c r="X5" s="254"/>
      <c r="Y5" s="161" t="s">
        <v>131</v>
      </c>
      <c r="Z5" s="148" t="s">
        <v>113</v>
      </c>
      <c r="AA5" s="148" t="s">
        <v>114</v>
      </c>
      <c r="AB5" s="148" t="s">
        <v>115</v>
      </c>
      <c r="AC5" s="250"/>
    </row>
    <row r="6" spans="1:29">
      <c r="A6" s="57" t="s">
        <v>8</v>
      </c>
      <c r="B6" s="58">
        <f t="shared" ref="B6:E6" si="0">SUM(B7:B19)</f>
        <v>0</v>
      </c>
      <c r="C6" s="57">
        <f t="shared" si="0"/>
        <v>0</v>
      </c>
      <c r="D6" s="57">
        <f t="shared" si="0"/>
        <v>0</v>
      </c>
      <c r="E6" s="57">
        <f t="shared" si="0"/>
        <v>0</v>
      </c>
      <c r="F6" s="58">
        <f>SUM(F7:F38)</f>
        <v>18123</v>
      </c>
      <c r="G6" s="58">
        <f t="shared" ref="G6:L6" si="1">SUM(G7:G38)</f>
        <v>8519.4</v>
      </c>
      <c r="H6" s="54">
        <f t="shared" si="1"/>
        <v>0</v>
      </c>
      <c r="I6" s="58">
        <f t="shared" si="1"/>
        <v>0</v>
      </c>
      <c r="J6" s="58">
        <f t="shared" si="1"/>
        <v>0</v>
      </c>
      <c r="K6" s="58">
        <f t="shared" si="1"/>
        <v>0</v>
      </c>
      <c r="L6" s="58">
        <f t="shared" si="1"/>
        <v>0</v>
      </c>
      <c r="M6" s="58">
        <f>SUM(M7:M38)</f>
        <v>360330705</v>
      </c>
      <c r="N6" s="144">
        <f>SUM(N7:N38)</f>
        <v>897625</v>
      </c>
      <c r="O6" s="150">
        <f t="shared" ref="O6:R6" si="2">SUM(O7:O38)</f>
        <v>0</v>
      </c>
      <c r="P6" s="150">
        <f t="shared" si="2"/>
        <v>897625</v>
      </c>
      <c r="Q6" s="166">
        <f t="shared" si="2"/>
        <v>71540</v>
      </c>
      <c r="R6" s="150">
        <f t="shared" si="2"/>
        <v>359401080</v>
      </c>
      <c r="S6" s="116">
        <f>SUM(S7:S38)</f>
        <v>18700240.120000005</v>
      </c>
      <c r="T6" s="156">
        <f t="shared" ref="T6:AB6" si="3">SUM(T7:T38)</f>
        <v>3799286.1200000006</v>
      </c>
      <c r="U6" s="156">
        <f t="shared" si="3"/>
        <v>1481870</v>
      </c>
      <c r="V6" s="156">
        <f t="shared" si="3"/>
        <v>1416416.12</v>
      </c>
      <c r="W6" s="156">
        <f t="shared" si="3"/>
        <v>14900954</v>
      </c>
      <c r="X6" s="156">
        <f t="shared" si="3"/>
        <v>51506209.479999997</v>
      </c>
      <c r="Y6" s="156">
        <f t="shared" si="3"/>
        <v>881209.48</v>
      </c>
      <c r="Z6" s="156">
        <f t="shared" si="3"/>
        <v>375420</v>
      </c>
      <c r="AA6" s="156">
        <f t="shared" si="3"/>
        <v>505789.48000000004</v>
      </c>
      <c r="AB6" s="156">
        <f t="shared" si="3"/>
        <v>50625000</v>
      </c>
      <c r="AC6" s="22"/>
    </row>
    <row r="7" spans="1:29" ht="31.5">
      <c r="A7" s="4" t="s">
        <v>50</v>
      </c>
      <c r="B7" s="58">
        <f>SUM(C7:E7)</f>
        <v>0</v>
      </c>
      <c r="C7" s="57"/>
      <c r="D7" s="57"/>
      <c r="E7" s="57"/>
      <c r="F7" s="58"/>
      <c r="G7" s="13">
        <v>400</v>
      </c>
      <c r="H7" s="11"/>
      <c r="I7" s="57"/>
      <c r="J7" s="57"/>
      <c r="K7" s="57"/>
      <c r="L7" s="59"/>
      <c r="M7" s="71">
        <f t="shared" ref="M7:M13" si="4">N7+R7</f>
        <v>0</v>
      </c>
      <c r="N7" s="71">
        <f>O7+P7</f>
        <v>0</v>
      </c>
      <c r="O7" s="75"/>
      <c r="P7" s="71"/>
      <c r="Q7" s="71"/>
      <c r="R7" s="71"/>
      <c r="S7" s="22">
        <f t="shared" ref="S7:S13" si="5">T7+W7</f>
        <v>0</v>
      </c>
      <c r="T7" s="22">
        <f t="shared" ref="T7:T13" si="6">U7+V7</f>
        <v>0</v>
      </c>
      <c r="U7" s="22"/>
      <c r="V7" s="22"/>
      <c r="W7" s="22"/>
      <c r="X7" s="157">
        <f>Y7+AB7</f>
        <v>0</v>
      </c>
      <c r="Y7" s="157">
        <f>Z7+AA7</f>
        <v>0</v>
      </c>
      <c r="Z7" s="22"/>
      <c r="AA7" s="22"/>
      <c r="AB7" s="22"/>
      <c r="AC7" s="22"/>
    </row>
    <row r="8" spans="1:29" ht="31.5">
      <c r="A8" s="4" t="s">
        <v>123</v>
      </c>
      <c r="B8" s="58">
        <f t="shared" ref="B8:B19" si="7">SUM(C8:E8)</f>
        <v>0</v>
      </c>
      <c r="C8" s="57"/>
      <c r="D8" s="11"/>
      <c r="E8" s="57"/>
      <c r="F8" s="58"/>
      <c r="G8" s="13">
        <v>10</v>
      </c>
      <c r="H8" s="11"/>
      <c r="I8" s="57"/>
      <c r="J8" s="57"/>
      <c r="K8" s="57"/>
      <c r="L8" s="59"/>
      <c r="M8" s="71">
        <f t="shared" si="4"/>
        <v>0</v>
      </c>
      <c r="N8" s="71">
        <f t="shared" ref="N8:N38" si="8">O8+P8</f>
        <v>0</v>
      </c>
      <c r="O8" s="71"/>
      <c r="P8" s="71"/>
      <c r="Q8" s="71"/>
      <c r="R8" s="71"/>
      <c r="S8" s="22">
        <f t="shared" si="5"/>
        <v>0</v>
      </c>
      <c r="T8" s="22">
        <f t="shared" si="6"/>
        <v>0</v>
      </c>
      <c r="U8" s="22"/>
      <c r="V8" s="22"/>
      <c r="W8" s="22"/>
      <c r="X8" s="157">
        <f t="shared" ref="X8:X38" si="9">Y8+AB8</f>
        <v>0</v>
      </c>
      <c r="Y8" s="157">
        <f t="shared" ref="Y8:Y38" si="10">Z8+AA8</f>
        <v>0</v>
      </c>
      <c r="Z8" s="22"/>
      <c r="AA8" s="22"/>
      <c r="AB8" s="22"/>
      <c r="AC8" s="22"/>
    </row>
    <row r="9" spans="1:29" hidden="1">
      <c r="A9" s="4" t="s">
        <v>51</v>
      </c>
      <c r="B9" s="58">
        <f t="shared" si="7"/>
        <v>0</v>
      </c>
      <c r="C9" s="57"/>
      <c r="D9" s="57"/>
      <c r="E9" s="57"/>
      <c r="F9" s="58"/>
      <c r="G9" s="13">
        <v>243</v>
      </c>
      <c r="H9" s="11"/>
      <c r="I9" s="57"/>
      <c r="J9" s="57"/>
      <c r="K9" s="57"/>
      <c r="L9" s="59"/>
      <c r="M9" s="71">
        <f t="shared" si="4"/>
        <v>0</v>
      </c>
      <c r="N9" s="71">
        <f t="shared" si="8"/>
        <v>0</v>
      </c>
      <c r="O9" s="71"/>
      <c r="P9" s="71"/>
      <c r="Q9" s="71"/>
      <c r="R9" s="71"/>
      <c r="S9" s="22">
        <f t="shared" si="5"/>
        <v>0</v>
      </c>
      <c r="T9" s="22">
        <f t="shared" si="6"/>
        <v>0</v>
      </c>
      <c r="U9" s="22"/>
      <c r="V9" s="22"/>
      <c r="W9" s="22"/>
      <c r="X9" s="157">
        <f t="shared" si="9"/>
        <v>0</v>
      </c>
      <c r="Y9" s="157">
        <f t="shared" si="10"/>
        <v>0</v>
      </c>
      <c r="Z9" s="22"/>
      <c r="AA9" s="22"/>
      <c r="AB9" s="22"/>
      <c r="AC9" s="22"/>
    </row>
    <row r="10" spans="1:29" hidden="1">
      <c r="A10" s="4" t="s">
        <v>52</v>
      </c>
      <c r="B10" s="58">
        <f t="shared" si="7"/>
        <v>0</v>
      </c>
      <c r="C10" s="57"/>
      <c r="D10" s="57"/>
      <c r="E10" s="57"/>
      <c r="F10" s="58"/>
      <c r="G10" s="13">
        <v>50</v>
      </c>
      <c r="H10" s="11"/>
      <c r="I10" s="57"/>
      <c r="J10" s="57"/>
      <c r="K10" s="57"/>
      <c r="L10" s="59"/>
      <c r="M10" s="71">
        <f t="shared" si="4"/>
        <v>0</v>
      </c>
      <c r="N10" s="71">
        <f t="shared" si="8"/>
        <v>0</v>
      </c>
      <c r="O10" s="71"/>
      <c r="P10" s="71"/>
      <c r="Q10" s="71"/>
      <c r="R10" s="71"/>
      <c r="S10" s="22">
        <f t="shared" si="5"/>
        <v>0</v>
      </c>
      <c r="T10" s="22">
        <f t="shared" si="6"/>
        <v>0</v>
      </c>
      <c r="U10" s="22"/>
      <c r="V10" s="22"/>
      <c r="W10" s="22"/>
      <c r="X10" s="157">
        <f t="shared" si="9"/>
        <v>0</v>
      </c>
      <c r="Y10" s="157">
        <f t="shared" si="10"/>
        <v>0</v>
      </c>
      <c r="Z10" s="22"/>
      <c r="AA10" s="22"/>
      <c r="AB10" s="22"/>
      <c r="AC10" s="22"/>
    </row>
    <row r="11" spans="1:29">
      <c r="A11" s="4" t="s">
        <v>53</v>
      </c>
      <c r="B11" s="58">
        <f t="shared" si="7"/>
        <v>0</v>
      </c>
      <c r="C11" s="57"/>
      <c r="D11" s="57"/>
      <c r="E11" s="57"/>
      <c r="F11" s="58">
        <v>3069</v>
      </c>
      <c r="G11" s="13">
        <f>30+72.1</f>
        <v>102.1</v>
      </c>
      <c r="H11" s="11"/>
      <c r="I11" s="57"/>
      <c r="J11" s="57"/>
      <c r="K11" s="57"/>
      <c r="L11" s="59"/>
      <c r="M11" s="71">
        <f t="shared" si="4"/>
        <v>0</v>
      </c>
      <c r="N11" s="71">
        <f t="shared" si="8"/>
        <v>0</v>
      </c>
      <c r="O11" s="75"/>
      <c r="P11" s="71"/>
      <c r="Q11" s="71"/>
      <c r="R11" s="71"/>
      <c r="S11" s="22">
        <f t="shared" si="5"/>
        <v>180000</v>
      </c>
      <c r="T11" s="22">
        <f t="shared" si="6"/>
        <v>180000</v>
      </c>
      <c r="U11" s="22">
        <v>180000</v>
      </c>
      <c r="V11" s="22"/>
      <c r="W11" s="22"/>
      <c r="X11" s="157">
        <f t="shared" si="9"/>
        <v>0</v>
      </c>
      <c r="Y11" s="157">
        <f t="shared" si="10"/>
        <v>0</v>
      </c>
      <c r="Z11" s="22"/>
      <c r="AA11" s="22"/>
      <c r="AB11" s="22"/>
      <c r="AC11" s="22"/>
    </row>
    <row r="12" spans="1:29" ht="31.5">
      <c r="A12" s="4" t="s">
        <v>124</v>
      </c>
      <c r="B12" s="153"/>
      <c r="C12" s="152"/>
      <c r="D12" s="152"/>
      <c r="E12" s="152"/>
      <c r="F12" s="153"/>
      <c r="G12" s="13"/>
      <c r="H12" s="11"/>
      <c r="I12" s="152"/>
      <c r="J12" s="152"/>
      <c r="K12" s="152"/>
      <c r="L12" s="151"/>
      <c r="M12" s="71">
        <f t="shared" si="4"/>
        <v>0</v>
      </c>
      <c r="N12" s="71">
        <f t="shared" si="8"/>
        <v>0</v>
      </c>
      <c r="O12" s="71"/>
      <c r="P12" s="71"/>
      <c r="Q12" s="71"/>
      <c r="R12" s="71"/>
      <c r="S12" s="22">
        <f t="shared" si="5"/>
        <v>0</v>
      </c>
      <c r="T12" s="22">
        <f t="shared" si="6"/>
        <v>0</v>
      </c>
      <c r="U12" s="22"/>
      <c r="V12" s="22"/>
      <c r="W12" s="22"/>
      <c r="X12" s="157">
        <f t="shared" si="9"/>
        <v>0</v>
      </c>
      <c r="Y12" s="157">
        <f t="shared" si="10"/>
        <v>0</v>
      </c>
      <c r="Z12" s="22"/>
      <c r="AA12" s="22"/>
      <c r="AB12" s="22"/>
      <c r="AC12" s="22"/>
    </row>
    <row r="13" spans="1:29">
      <c r="A13" s="4" t="s">
        <v>54</v>
      </c>
      <c r="B13" s="58">
        <f t="shared" si="7"/>
        <v>0</v>
      </c>
      <c r="C13" s="57"/>
      <c r="D13" s="57"/>
      <c r="E13" s="57"/>
      <c r="F13" s="58">
        <v>277</v>
      </c>
      <c r="G13" s="13">
        <f>9.5+20</f>
        <v>29.5</v>
      </c>
      <c r="H13" s="11"/>
      <c r="I13" s="57"/>
      <c r="J13" s="57"/>
      <c r="K13" s="57"/>
      <c r="L13" s="59"/>
      <c r="M13" s="71">
        <f t="shared" si="4"/>
        <v>0</v>
      </c>
      <c r="N13" s="71">
        <f t="shared" si="8"/>
        <v>0</v>
      </c>
      <c r="O13" s="71"/>
      <c r="P13" s="71"/>
      <c r="Q13" s="71"/>
      <c r="R13" s="71"/>
      <c r="S13" s="22">
        <f t="shared" si="5"/>
        <v>155170</v>
      </c>
      <c r="T13" s="22">
        <f t="shared" si="6"/>
        <v>155170</v>
      </c>
      <c r="U13" s="22">
        <v>155170</v>
      </c>
      <c r="V13" s="22"/>
      <c r="W13" s="22"/>
      <c r="X13" s="157">
        <f t="shared" si="9"/>
        <v>131820</v>
      </c>
      <c r="Y13" s="157">
        <f t="shared" si="10"/>
        <v>131820</v>
      </c>
      <c r="Z13" s="22">
        <v>131820</v>
      </c>
      <c r="AA13" s="22"/>
      <c r="AB13" s="22"/>
      <c r="AC13" s="22"/>
    </row>
    <row r="14" spans="1:29" ht="47.25">
      <c r="A14" s="4" t="s">
        <v>118</v>
      </c>
      <c r="B14" s="144"/>
      <c r="C14" s="143"/>
      <c r="D14" s="143"/>
      <c r="E14" s="143"/>
      <c r="F14" s="144"/>
      <c r="G14" s="13"/>
      <c r="H14" s="11"/>
      <c r="I14" s="143"/>
      <c r="J14" s="143"/>
      <c r="K14" s="143"/>
      <c r="L14" s="142"/>
      <c r="M14" s="71">
        <f>N14+R14</f>
        <v>0</v>
      </c>
      <c r="N14" s="71">
        <f t="shared" si="8"/>
        <v>0</v>
      </c>
      <c r="O14" s="71"/>
      <c r="P14" s="71"/>
      <c r="Q14" s="71"/>
      <c r="R14" s="71"/>
      <c r="S14" s="22">
        <f>T14+W14</f>
        <v>0</v>
      </c>
      <c r="T14" s="22">
        <f t="shared" ref="T14:T15" si="11">U14+V14</f>
        <v>0</v>
      </c>
      <c r="U14" s="22"/>
      <c r="V14" s="22"/>
      <c r="W14" s="22"/>
      <c r="X14" s="157">
        <f t="shared" si="9"/>
        <v>0</v>
      </c>
      <c r="Y14" s="157">
        <f t="shared" si="10"/>
        <v>0</v>
      </c>
      <c r="Z14" s="22"/>
      <c r="AA14" s="22"/>
      <c r="AB14" s="22"/>
      <c r="AC14" s="22"/>
    </row>
    <row r="15" spans="1:29">
      <c r="A15" s="4" t="s">
        <v>93</v>
      </c>
      <c r="B15" s="58">
        <f t="shared" si="7"/>
        <v>0</v>
      </c>
      <c r="C15" s="57"/>
      <c r="D15" s="5"/>
      <c r="E15" s="57"/>
      <c r="F15" s="58">
        <v>180</v>
      </c>
      <c r="G15" s="13">
        <v>10</v>
      </c>
      <c r="H15" s="11"/>
      <c r="I15" s="57"/>
      <c r="J15" s="57"/>
      <c r="K15" s="57"/>
      <c r="L15" s="59"/>
      <c r="M15" s="71">
        <f t="shared" ref="M15:M38" si="12">N15+R15</f>
        <v>0</v>
      </c>
      <c r="N15" s="71">
        <f t="shared" si="8"/>
        <v>0</v>
      </c>
      <c r="O15" s="75"/>
      <c r="P15" s="71"/>
      <c r="Q15" s="71"/>
      <c r="R15" s="71"/>
      <c r="S15" s="22">
        <f>T15+W15</f>
        <v>180000</v>
      </c>
      <c r="T15" s="22">
        <f t="shared" si="11"/>
        <v>180000</v>
      </c>
      <c r="U15" s="22">
        <v>180000</v>
      </c>
      <c r="V15" s="22"/>
      <c r="W15" s="22"/>
      <c r="X15" s="157">
        <f t="shared" si="9"/>
        <v>0</v>
      </c>
      <c r="Y15" s="157">
        <f t="shared" si="10"/>
        <v>0</v>
      </c>
      <c r="Z15" s="22"/>
      <c r="AA15" s="22"/>
      <c r="AB15" s="22"/>
      <c r="AC15" s="22"/>
    </row>
    <row r="16" spans="1:29" hidden="1">
      <c r="A16" s="4" t="s">
        <v>55</v>
      </c>
      <c r="B16" s="58">
        <f t="shared" si="7"/>
        <v>0</v>
      </c>
      <c r="C16" s="57"/>
      <c r="D16" s="57"/>
      <c r="E16" s="57"/>
      <c r="F16" s="69"/>
      <c r="G16" s="13">
        <v>4300</v>
      </c>
      <c r="H16" s="11"/>
      <c r="I16" s="57"/>
      <c r="J16" s="57"/>
      <c r="K16" s="57"/>
      <c r="L16" s="59"/>
      <c r="M16" s="71">
        <f t="shared" si="12"/>
        <v>0</v>
      </c>
      <c r="N16" s="71">
        <f t="shared" si="8"/>
        <v>0</v>
      </c>
      <c r="O16" s="71"/>
      <c r="P16" s="71"/>
      <c r="Q16" s="71"/>
      <c r="R16" s="71"/>
      <c r="S16" s="22"/>
      <c r="T16" s="22"/>
      <c r="U16" s="22"/>
      <c r="V16" s="22"/>
      <c r="W16" s="22"/>
      <c r="X16" s="157">
        <f t="shared" si="9"/>
        <v>0</v>
      </c>
      <c r="Y16" s="157">
        <f t="shared" si="10"/>
        <v>0</v>
      </c>
      <c r="Z16" s="22"/>
      <c r="AA16" s="22"/>
      <c r="AB16" s="22"/>
      <c r="AC16" s="22"/>
    </row>
    <row r="17" spans="1:29" hidden="1">
      <c r="A17" s="4" t="s">
        <v>92</v>
      </c>
      <c r="B17" s="58">
        <f t="shared" si="7"/>
        <v>0</v>
      </c>
      <c r="C17" s="57"/>
      <c r="D17" s="57"/>
      <c r="E17" s="57"/>
      <c r="F17" s="58"/>
      <c r="G17" s="13">
        <v>350</v>
      </c>
      <c r="H17" s="11"/>
      <c r="I17" s="57"/>
      <c r="J17" s="57"/>
      <c r="K17" s="57"/>
      <c r="L17" s="59"/>
      <c r="M17" s="71">
        <f t="shared" si="12"/>
        <v>0</v>
      </c>
      <c r="N17" s="71">
        <f t="shared" si="8"/>
        <v>0</v>
      </c>
      <c r="O17" s="71"/>
      <c r="P17" s="71"/>
      <c r="Q17" s="71"/>
      <c r="R17" s="71"/>
      <c r="S17" s="22"/>
      <c r="T17" s="22"/>
      <c r="U17" s="22"/>
      <c r="V17" s="22"/>
      <c r="W17" s="22"/>
      <c r="X17" s="157">
        <f t="shared" si="9"/>
        <v>0</v>
      </c>
      <c r="Y17" s="157">
        <f t="shared" si="10"/>
        <v>0</v>
      </c>
      <c r="Z17" s="22"/>
      <c r="AA17" s="22"/>
      <c r="AB17" s="22"/>
      <c r="AC17" s="22"/>
    </row>
    <row r="18" spans="1:29" ht="31.5">
      <c r="A18" s="4" t="s">
        <v>94</v>
      </c>
      <c r="B18" s="58">
        <f t="shared" si="7"/>
        <v>0</v>
      </c>
      <c r="C18" s="57"/>
      <c r="D18" s="57"/>
      <c r="E18" s="57"/>
      <c r="F18" s="58"/>
      <c r="G18" s="13">
        <v>90</v>
      </c>
      <c r="H18" s="11"/>
      <c r="I18" s="57"/>
      <c r="J18" s="57"/>
      <c r="K18" s="57"/>
      <c r="L18" s="59"/>
      <c r="M18" s="71">
        <f t="shared" si="12"/>
        <v>0</v>
      </c>
      <c r="N18" s="71">
        <f t="shared" si="8"/>
        <v>0</v>
      </c>
      <c r="O18" s="75"/>
      <c r="P18" s="71"/>
      <c r="Q18" s="71"/>
      <c r="R18" s="71"/>
      <c r="S18" s="22">
        <f>T18+W18</f>
        <v>1441238.2</v>
      </c>
      <c r="T18" s="22">
        <f>U18+V18</f>
        <v>67738.2</v>
      </c>
      <c r="U18" s="22"/>
      <c r="V18" s="22">
        <v>67738.2</v>
      </c>
      <c r="W18" s="22">
        <v>1373500</v>
      </c>
      <c r="X18" s="157">
        <f t="shared" si="9"/>
        <v>0</v>
      </c>
      <c r="Y18" s="157">
        <f t="shared" si="10"/>
        <v>0</v>
      </c>
      <c r="Z18" s="22"/>
      <c r="AA18" s="22"/>
      <c r="AB18" s="22"/>
      <c r="AC18" s="22"/>
    </row>
    <row r="19" spans="1:29">
      <c r="A19" s="4" t="s">
        <v>101</v>
      </c>
      <c r="B19" s="58">
        <f t="shared" si="7"/>
        <v>0</v>
      </c>
      <c r="C19" s="5"/>
      <c r="D19" s="57"/>
      <c r="E19" s="57"/>
      <c r="F19" s="58">
        <v>129.1</v>
      </c>
      <c r="G19" s="57">
        <v>1357.1</v>
      </c>
      <c r="H19" s="11"/>
      <c r="I19" s="57"/>
      <c r="J19" s="57"/>
      <c r="K19" s="57"/>
      <c r="L19" s="59"/>
      <c r="M19" s="71">
        <f t="shared" si="12"/>
        <v>0</v>
      </c>
      <c r="N19" s="71">
        <f t="shared" si="8"/>
        <v>0</v>
      </c>
      <c r="O19" s="71"/>
      <c r="P19" s="71"/>
      <c r="Q19" s="71"/>
      <c r="R19" s="71"/>
      <c r="S19" s="22">
        <f t="shared" ref="S19:S38" si="13">T19+W19</f>
        <v>41600</v>
      </c>
      <c r="T19" s="22">
        <f t="shared" ref="T19:T38" si="14">U19+V19</f>
        <v>41600</v>
      </c>
      <c r="U19" s="22">
        <v>41600</v>
      </c>
      <c r="V19" s="22"/>
      <c r="W19" s="22"/>
      <c r="X19" s="157">
        <f t="shared" si="9"/>
        <v>60000</v>
      </c>
      <c r="Y19" s="157">
        <f t="shared" si="10"/>
        <v>60000</v>
      </c>
      <c r="Z19" s="22">
        <v>60000</v>
      </c>
      <c r="AA19" s="22"/>
      <c r="AB19" s="22"/>
      <c r="AC19" s="22"/>
    </row>
    <row r="20" spans="1:29">
      <c r="A20" s="14" t="s">
        <v>56</v>
      </c>
      <c r="B20" s="22"/>
      <c r="C20" s="22"/>
      <c r="D20" s="22"/>
      <c r="E20" s="22"/>
      <c r="F20" s="15">
        <v>201.1</v>
      </c>
      <c r="G20" s="13">
        <v>34.5</v>
      </c>
      <c r="H20" s="11"/>
      <c r="M20" s="71">
        <f t="shared" si="12"/>
        <v>0</v>
      </c>
      <c r="N20" s="71">
        <f t="shared" si="8"/>
        <v>0</v>
      </c>
      <c r="O20" s="75"/>
      <c r="P20" s="71"/>
      <c r="Q20" s="71"/>
      <c r="R20" s="71"/>
      <c r="S20" s="22">
        <f t="shared" si="13"/>
        <v>148100</v>
      </c>
      <c r="T20" s="22">
        <f t="shared" si="14"/>
        <v>148100</v>
      </c>
      <c r="U20" s="22">
        <v>148100</v>
      </c>
      <c r="V20" s="22"/>
      <c r="W20" s="22"/>
      <c r="X20" s="157">
        <f t="shared" si="9"/>
        <v>183600</v>
      </c>
      <c r="Y20" s="157">
        <f t="shared" si="10"/>
        <v>183600</v>
      </c>
      <c r="Z20" s="22">
        <v>183600</v>
      </c>
      <c r="AA20" s="22"/>
      <c r="AB20" s="22"/>
      <c r="AC20" s="22"/>
    </row>
    <row r="21" spans="1:29" hidden="1">
      <c r="A21" s="14" t="s">
        <v>57</v>
      </c>
      <c r="B21" s="22"/>
      <c r="C21" s="22"/>
      <c r="D21" s="22"/>
      <c r="E21" s="22"/>
      <c r="F21" s="15"/>
      <c r="G21" s="13">
        <v>20</v>
      </c>
      <c r="H21" s="11"/>
      <c r="M21" s="71">
        <f t="shared" si="12"/>
        <v>0</v>
      </c>
      <c r="N21" s="71">
        <f t="shared" si="8"/>
        <v>0</v>
      </c>
      <c r="O21" s="71"/>
      <c r="P21" s="71"/>
      <c r="Q21" s="71"/>
      <c r="R21" s="71"/>
      <c r="S21" s="22">
        <f t="shared" si="13"/>
        <v>0</v>
      </c>
      <c r="T21" s="22">
        <f t="shared" si="14"/>
        <v>0</v>
      </c>
      <c r="U21" s="22"/>
      <c r="V21" s="22"/>
      <c r="W21" s="22"/>
      <c r="X21" s="157">
        <f t="shared" si="9"/>
        <v>0</v>
      </c>
      <c r="Y21" s="157">
        <f t="shared" si="10"/>
        <v>0</v>
      </c>
      <c r="Z21" s="22"/>
      <c r="AA21" s="22"/>
      <c r="AB21" s="22"/>
      <c r="AC21" s="22"/>
    </row>
    <row r="22" spans="1:29">
      <c r="A22" s="14" t="s">
        <v>58</v>
      </c>
      <c r="B22" s="22"/>
      <c r="C22" s="22"/>
      <c r="D22" s="22"/>
      <c r="E22" s="22"/>
      <c r="F22" s="117">
        <v>1553.6</v>
      </c>
      <c r="G22" s="13">
        <v>455.3</v>
      </c>
      <c r="H22" s="11"/>
      <c r="M22" s="71">
        <f t="shared" si="12"/>
        <v>0</v>
      </c>
      <c r="N22" s="71">
        <f t="shared" si="8"/>
        <v>0</v>
      </c>
      <c r="O22" s="75"/>
      <c r="P22" s="71"/>
      <c r="Q22" s="71"/>
      <c r="R22" s="71"/>
      <c r="S22" s="22">
        <f t="shared" si="13"/>
        <v>900000</v>
      </c>
      <c r="T22" s="75">
        <v>900000</v>
      </c>
      <c r="U22" s="95"/>
      <c r="V22" s="22"/>
      <c r="W22" s="22"/>
      <c r="X22" s="157">
        <f t="shared" si="9"/>
        <v>0</v>
      </c>
      <c r="Y22" s="157">
        <f t="shared" si="10"/>
        <v>0</v>
      </c>
      <c r="Z22" s="75"/>
      <c r="AA22" s="22"/>
      <c r="AB22" s="22"/>
      <c r="AC22" s="22"/>
    </row>
    <row r="23" spans="1:29" ht="31.5">
      <c r="A23" s="14" t="s">
        <v>133</v>
      </c>
      <c r="B23" s="22"/>
      <c r="C23" s="22"/>
      <c r="D23" s="22"/>
      <c r="E23" s="22"/>
      <c r="F23" s="117"/>
      <c r="G23" s="13"/>
      <c r="H23" s="11"/>
      <c r="M23" s="71">
        <f>N23+R23+Q23</f>
        <v>926000</v>
      </c>
      <c r="N23" s="71">
        <f t="shared" si="8"/>
        <v>110000</v>
      </c>
      <c r="O23" s="71"/>
      <c r="P23" s="190">
        <f>80000+30000</f>
        <v>110000</v>
      </c>
      <c r="Q23" s="71">
        <v>16000</v>
      </c>
      <c r="R23" s="71">
        <v>800000</v>
      </c>
      <c r="S23" s="22">
        <f t="shared" si="13"/>
        <v>1564898</v>
      </c>
      <c r="T23" s="22">
        <f t="shared" si="14"/>
        <v>78244</v>
      </c>
      <c r="U23" s="95"/>
      <c r="V23" s="95">
        <v>78244</v>
      </c>
      <c r="W23" s="95">
        <v>1486654</v>
      </c>
      <c r="X23" s="157">
        <f t="shared" si="9"/>
        <v>0</v>
      </c>
      <c r="Y23" s="157">
        <f t="shared" si="10"/>
        <v>0</v>
      </c>
      <c r="Z23" s="22"/>
      <c r="AA23" s="22"/>
      <c r="AB23" s="22"/>
      <c r="AC23" s="22"/>
    </row>
    <row r="24" spans="1:29">
      <c r="A24" s="14" t="s">
        <v>59</v>
      </c>
      <c r="B24" s="22"/>
      <c r="C24" s="22"/>
      <c r="D24" s="22"/>
      <c r="E24" s="22"/>
      <c r="F24" s="15">
        <v>275.8</v>
      </c>
      <c r="G24" s="13">
        <v>322.5</v>
      </c>
      <c r="H24" s="11"/>
      <c r="M24" s="71">
        <f t="shared" si="12"/>
        <v>0</v>
      </c>
      <c r="N24" s="71">
        <f t="shared" si="8"/>
        <v>0</v>
      </c>
      <c r="O24" s="75"/>
      <c r="P24" s="71"/>
      <c r="Q24" s="71"/>
      <c r="R24" s="71"/>
      <c r="S24" s="22">
        <f t="shared" si="13"/>
        <v>535000</v>
      </c>
      <c r="T24" s="22">
        <f t="shared" si="14"/>
        <v>535000</v>
      </c>
      <c r="U24" s="71">
        <v>535000</v>
      </c>
      <c r="V24" s="71"/>
      <c r="W24" s="71"/>
      <c r="X24" s="157">
        <f t="shared" si="9"/>
        <v>0</v>
      </c>
      <c r="Y24" s="157">
        <f t="shared" si="10"/>
        <v>0</v>
      </c>
      <c r="Z24" s="22"/>
      <c r="AA24" s="22"/>
      <c r="AB24" s="22"/>
      <c r="AC24" s="22"/>
    </row>
    <row r="25" spans="1:29" ht="31.5">
      <c r="A25" s="14" t="s">
        <v>144</v>
      </c>
      <c r="B25" s="22"/>
      <c r="C25" s="22"/>
      <c r="D25" s="22"/>
      <c r="E25" s="22"/>
      <c r="F25" s="149">
        <v>8840.4</v>
      </c>
      <c r="G25" s="13">
        <v>440.5</v>
      </c>
      <c r="H25" s="11"/>
      <c r="M25" s="71">
        <f t="shared" si="12"/>
        <v>585360</v>
      </c>
      <c r="N25" s="71">
        <f t="shared" si="8"/>
        <v>53360</v>
      </c>
      <c r="O25" s="71"/>
      <c r="P25" s="190">
        <v>53360</v>
      </c>
      <c r="Q25" s="71">
        <v>10640</v>
      </c>
      <c r="R25" s="71">
        <v>532000</v>
      </c>
      <c r="S25" s="22">
        <f t="shared" si="13"/>
        <v>0</v>
      </c>
      <c r="T25" s="22">
        <f t="shared" si="14"/>
        <v>0</v>
      </c>
      <c r="U25" s="22"/>
      <c r="V25" s="22"/>
      <c r="W25" s="22"/>
      <c r="X25" s="157">
        <f t="shared" si="9"/>
        <v>0</v>
      </c>
      <c r="Y25" s="157">
        <f t="shared" si="10"/>
        <v>0</v>
      </c>
      <c r="Z25" s="22"/>
      <c r="AA25" s="22"/>
      <c r="AB25" s="22"/>
      <c r="AC25" s="22"/>
    </row>
    <row r="26" spans="1:29">
      <c r="A26" s="14" t="s">
        <v>60</v>
      </c>
      <c r="B26" s="22"/>
      <c r="C26" s="22"/>
      <c r="D26" s="22"/>
      <c r="E26" s="22"/>
      <c r="F26" s="15"/>
      <c r="G26" s="13">
        <v>64.900000000000006</v>
      </c>
      <c r="H26" s="11"/>
      <c r="M26" s="71">
        <f t="shared" si="12"/>
        <v>0</v>
      </c>
      <c r="N26" s="71">
        <f t="shared" si="8"/>
        <v>0</v>
      </c>
      <c r="O26" s="71"/>
      <c r="P26" s="71"/>
      <c r="Q26" s="71"/>
      <c r="R26" s="71"/>
      <c r="S26" s="22">
        <f t="shared" si="13"/>
        <v>0</v>
      </c>
      <c r="T26" s="22">
        <f t="shared" si="14"/>
        <v>0</v>
      </c>
      <c r="U26" s="22"/>
      <c r="V26" s="22"/>
      <c r="W26" s="22"/>
      <c r="X26" s="157">
        <f t="shared" si="9"/>
        <v>0</v>
      </c>
      <c r="Y26" s="157">
        <f t="shared" si="10"/>
        <v>0</v>
      </c>
      <c r="Z26" s="22"/>
      <c r="AA26" s="22"/>
      <c r="AB26" s="22"/>
      <c r="AC26" s="22"/>
    </row>
    <row r="27" spans="1:29">
      <c r="A27" s="14" t="s">
        <v>116</v>
      </c>
      <c r="B27" s="22"/>
      <c r="C27" s="22"/>
      <c r="D27" s="22"/>
      <c r="E27" s="22"/>
      <c r="F27" s="15"/>
      <c r="G27" s="13"/>
      <c r="H27" s="11"/>
      <c r="M27" s="71">
        <f t="shared" si="12"/>
        <v>0</v>
      </c>
      <c r="N27" s="71">
        <f t="shared" si="8"/>
        <v>0</v>
      </c>
      <c r="O27" s="71"/>
      <c r="P27" s="71"/>
      <c r="Q27" s="71"/>
      <c r="R27" s="71"/>
      <c r="S27" s="22">
        <f t="shared" si="13"/>
        <v>5263157.9000000004</v>
      </c>
      <c r="T27" s="22">
        <f t="shared" si="14"/>
        <v>263157.90000000002</v>
      </c>
      <c r="U27" s="22"/>
      <c r="V27" s="22">
        <v>263157.90000000002</v>
      </c>
      <c r="W27" s="22">
        <v>5000000</v>
      </c>
      <c r="X27" s="157">
        <f t="shared" si="9"/>
        <v>5263157.9000000004</v>
      </c>
      <c r="Y27" s="157">
        <f t="shared" si="10"/>
        <v>263157.90000000002</v>
      </c>
      <c r="Z27" s="22"/>
      <c r="AA27" s="22">
        <v>263157.90000000002</v>
      </c>
      <c r="AB27" s="22">
        <v>5000000</v>
      </c>
      <c r="AC27" s="22"/>
    </row>
    <row r="28" spans="1:29">
      <c r="A28" s="14" t="s">
        <v>117</v>
      </c>
      <c r="B28" s="22"/>
      <c r="C28" s="22"/>
      <c r="D28" s="22"/>
      <c r="E28" s="22"/>
      <c r="F28" s="15"/>
      <c r="G28" s="13"/>
      <c r="H28" s="11"/>
      <c r="M28" s="71">
        <f t="shared" si="12"/>
        <v>0</v>
      </c>
      <c r="N28" s="71">
        <f t="shared" si="8"/>
        <v>0</v>
      </c>
      <c r="O28" s="71"/>
      <c r="P28" s="71"/>
      <c r="Q28" s="71"/>
      <c r="R28" s="71"/>
      <c r="S28" s="22">
        <f t="shared" si="13"/>
        <v>0</v>
      </c>
      <c r="T28" s="22">
        <f t="shared" si="14"/>
        <v>0</v>
      </c>
      <c r="U28" s="22"/>
      <c r="V28" s="22"/>
      <c r="W28" s="22"/>
      <c r="X28" s="157">
        <f t="shared" si="9"/>
        <v>0</v>
      </c>
      <c r="Y28" s="157">
        <f t="shared" si="10"/>
        <v>0</v>
      </c>
      <c r="Z28" s="22"/>
      <c r="AA28" s="22"/>
      <c r="AB28" s="22"/>
      <c r="AC28" s="22"/>
    </row>
    <row r="29" spans="1:29">
      <c r="A29" s="14" t="s">
        <v>61</v>
      </c>
      <c r="B29" s="22"/>
      <c r="C29" s="22"/>
      <c r="D29" s="22"/>
      <c r="E29" s="22"/>
      <c r="F29" s="15">
        <v>167</v>
      </c>
      <c r="G29" s="13">
        <v>180</v>
      </c>
      <c r="H29" s="11"/>
      <c r="M29" s="71">
        <f t="shared" si="12"/>
        <v>0</v>
      </c>
      <c r="N29" s="71">
        <f t="shared" si="8"/>
        <v>0</v>
      </c>
      <c r="O29" s="75"/>
      <c r="P29" s="71"/>
      <c r="Q29" s="71"/>
      <c r="R29" s="71"/>
      <c r="S29" s="22">
        <f t="shared" si="13"/>
        <v>182000</v>
      </c>
      <c r="T29" s="22">
        <f t="shared" si="14"/>
        <v>182000</v>
      </c>
      <c r="U29" s="22">
        <v>182000</v>
      </c>
      <c r="V29" s="22"/>
      <c r="W29" s="22"/>
      <c r="X29" s="157">
        <f t="shared" si="9"/>
        <v>0</v>
      </c>
      <c r="Y29" s="157">
        <f t="shared" si="10"/>
        <v>0</v>
      </c>
      <c r="Z29" s="22"/>
      <c r="AA29" s="22"/>
      <c r="AB29" s="22"/>
      <c r="AC29" s="22"/>
    </row>
    <row r="30" spans="1:29">
      <c r="A30" s="20" t="s">
        <v>62</v>
      </c>
      <c r="B30" s="72"/>
      <c r="C30" s="72"/>
      <c r="D30" s="72"/>
      <c r="E30" s="72"/>
      <c r="F30" s="21">
        <v>34.4</v>
      </c>
      <c r="G30" s="19">
        <v>60</v>
      </c>
      <c r="H30" s="55"/>
      <c r="M30" s="71">
        <f t="shared" si="12"/>
        <v>0</v>
      </c>
      <c r="N30" s="71">
        <f t="shared" si="8"/>
        <v>0</v>
      </c>
      <c r="O30" s="187"/>
      <c r="P30" s="73"/>
      <c r="Q30" s="73"/>
      <c r="R30" s="73"/>
      <c r="S30" s="22">
        <f t="shared" si="13"/>
        <v>60000</v>
      </c>
      <c r="T30" s="22">
        <f t="shared" si="14"/>
        <v>60000</v>
      </c>
      <c r="U30" s="73">
        <v>60000</v>
      </c>
      <c r="V30" s="73"/>
      <c r="W30" s="73"/>
      <c r="X30" s="157">
        <f t="shared" si="9"/>
        <v>0</v>
      </c>
      <c r="Y30" s="157">
        <f t="shared" si="10"/>
        <v>0</v>
      </c>
      <c r="Z30" s="22"/>
      <c r="AA30" s="22"/>
      <c r="AB30" s="22"/>
      <c r="AC30" s="22"/>
    </row>
    <row r="31" spans="1:29">
      <c r="A31" s="20" t="s">
        <v>109</v>
      </c>
      <c r="B31" s="72"/>
      <c r="C31" s="72"/>
      <c r="D31" s="72"/>
      <c r="E31" s="72"/>
      <c r="F31" s="21">
        <v>3395.6</v>
      </c>
      <c r="G31" s="19"/>
      <c r="H31" s="55"/>
      <c r="M31" s="71">
        <f t="shared" si="12"/>
        <v>0</v>
      </c>
      <c r="N31" s="71">
        <f t="shared" si="8"/>
        <v>0</v>
      </c>
      <c r="O31" s="73"/>
      <c r="P31" s="73"/>
      <c r="Q31" s="73"/>
      <c r="R31" s="73"/>
      <c r="S31" s="22">
        <f t="shared" si="13"/>
        <v>0</v>
      </c>
      <c r="T31" s="22">
        <f t="shared" si="14"/>
        <v>0</v>
      </c>
      <c r="U31" s="73"/>
      <c r="V31" s="73"/>
      <c r="W31" s="73"/>
      <c r="X31" s="157">
        <f t="shared" si="9"/>
        <v>0</v>
      </c>
      <c r="Y31" s="157">
        <f t="shared" si="10"/>
        <v>0</v>
      </c>
      <c r="Z31" s="22"/>
      <c r="AA31" s="22"/>
      <c r="AB31" s="22"/>
      <c r="AC31" s="22"/>
    </row>
    <row r="32" spans="1:29" ht="31.5">
      <c r="A32" s="20" t="s">
        <v>135</v>
      </c>
      <c r="B32" s="72"/>
      <c r="C32" s="72"/>
      <c r="D32" s="72"/>
      <c r="E32" s="72"/>
      <c r="F32" s="21"/>
      <c r="G32" s="19"/>
      <c r="H32" s="55"/>
      <c r="M32" s="71">
        <f>N32+R32+Q32</f>
        <v>916471</v>
      </c>
      <c r="N32" s="71">
        <f t="shared" si="8"/>
        <v>100471</v>
      </c>
      <c r="O32" s="73"/>
      <c r="P32" s="191">
        <v>100471</v>
      </c>
      <c r="Q32" s="73">
        <v>16000</v>
      </c>
      <c r="R32" s="73">
        <v>800000</v>
      </c>
      <c r="S32" s="22">
        <f t="shared" si="13"/>
        <v>2222222.2200000002</v>
      </c>
      <c r="T32" s="22">
        <f t="shared" si="14"/>
        <v>222222.22</v>
      </c>
      <c r="U32" s="73"/>
      <c r="V32" s="73">
        <v>222222.22</v>
      </c>
      <c r="W32" s="73">
        <v>2000000</v>
      </c>
      <c r="X32" s="157">
        <f t="shared" si="9"/>
        <v>0</v>
      </c>
      <c r="Y32" s="157">
        <f t="shared" si="10"/>
        <v>0</v>
      </c>
      <c r="Z32" s="22"/>
      <c r="AA32" s="22"/>
      <c r="AB32" s="22"/>
      <c r="AC32" s="22"/>
    </row>
    <row r="33" spans="1:29" ht="31.5" hidden="1">
      <c r="A33" s="20" t="s">
        <v>119</v>
      </c>
      <c r="B33" s="72"/>
      <c r="C33" s="72"/>
      <c r="D33" s="72"/>
      <c r="E33" s="72"/>
      <c r="F33" s="21"/>
      <c r="G33" s="19"/>
      <c r="H33" s="55"/>
      <c r="M33" s="71">
        <f t="shared" si="12"/>
        <v>0</v>
      </c>
      <c r="N33" s="71">
        <f t="shared" si="8"/>
        <v>0</v>
      </c>
      <c r="O33" s="73"/>
      <c r="P33" s="191"/>
      <c r="Q33" s="73"/>
      <c r="R33" s="73"/>
      <c r="S33" s="22">
        <f t="shared" si="13"/>
        <v>2222222.2200000002</v>
      </c>
      <c r="T33" s="22">
        <f t="shared" si="14"/>
        <v>222222.22</v>
      </c>
      <c r="U33" s="73"/>
      <c r="V33" s="73">
        <v>222222.22</v>
      </c>
      <c r="W33" s="73">
        <v>2000000</v>
      </c>
      <c r="X33" s="157">
        <f t="shared" si="9"/>
        <v>0</v>
      </c>
      <c r="Y33" s="157">
        <f t="shared" si="10"/>
        <v>0</v>
      </c>
      <c r="Z33" s="22"/>
      <c r="AA33" s="22"/>
      <c r="AB33" s="22"/>
      <c r="AC33" s="22"/>
    </row>
    <row r="34" spans="1:29" ht="31.5" hidden="1">
      <c r="A34" s="20" t="s">
        <v>120</v>
      </c>
      <c r="B34" s="72"/>
      <c r="C34" s="72"/>
      <c r="D34" s="72"/>
      <c r="E34" s="72"/>
      <c r="F34" s="21"/>
      <c r="G34" s="19"/>
      <c r="H34" s="55"/>
      <c r="M34" s="71">
        <f t="shared" si="12"/>
        <v>0</v>
      </c>
      <c r="N34" s="71">
        <f t="shared" si="8"/>
        <v>0</v>
      </c>
      <c r="O34" s="73"/>
      <c r="P34" s="191"/>
      <c r="Q34" s="73"/>
      <c r="R34" s="73"/>
      <c r="S34" s="22">
        <f t="shared" si="13"/>
        <v>2551000</v>
      </c>
      <c r="T34" s="22">
        <f t="shared" si="14"/>
        <v>510200</v>
      </c>
      <c r="U34" s="73"/>
      <c r="V34" s="73">
        <v>510200</v>
      </c>
      <c r="W34" s="73">
        <v>2040800</v>
      </c>
      <c r="X34" s="157">
        <f t="shared" si="9"/>
        <v>12606000</v>
      </c>
      <c r="Y34" s="157">
        <f t="shared" si="10"/>
        <v>61000</v>
      </c>
      <c r="Z34" s="22"/>
      <c r="AA34" s="22">
        <v>61000</v>
      </c>
      <c r="AB34" s="22">
        <v>12545000</v>
      </c>
      <c r="AC34" s="22"/>
    </row>
    <row r="35" spans="1:29" ht="31.5">
      <c r="A35" s="20" t="s">
        <v>147</v>
      </c>
      <c r="B35" s="72"/>
      <c r="C35" s="72"/>
      <c r="D35" s="72"/>
      <c r="E35" s="72"/>
      <c r="F35" s="185"/>
      <c r="G35" s="19"/>
      <c r="H35" s="55"/>
      <c r="M35" s="71">
        <f>N35+R35+Q35</f>
        <v>253334</v>
      </c>
      <c r="N35" s="71">
        <f t="shared" ref="N35" si="15">O35+P35</f>
        <v>133334</v>
      </c>
      <c r="O35" s="73"/>
      <c r="P35" s="191">
        <v>133334</v>
      </c>
      <c r="Q35" s="73"/>
      <c r="R35" s="73">
        <v>120000</v>
      </c>
      <c r="S35" s="22"/>
      <c r="T35" s="22"/>
      <c r="U35" s="73"/>
      <c r="V35" s="73"/>
      <c r="W35" s="73"/>
      <c r="X35" s="157"/>
      <c r="Y35" s="157"/>
      <c r="Z35" s="22"/>
      <c r="AA35" s="22"/>
      <c r="AB35" s="22"/>
      <c r="AC35" s="22"/>
    </row>
    <row r="36" spans="1:29" ht="47.25">
      <c r="A36" s="20" t="s">
        <v>121</v>
      </c>
      <c r="B36" s="72"/>
      <c r="C36" s="72"/>
      <c r="D36" s="72"/>
      <c r="E36" s="72"/>
      <c r="F36" s="21"/>
      <c r="G36" s="19"/>
      <c r="H36" s="55"/>
      <c r="M36" s="71">
        <f t="shared" si="12"/>
        <v>356062440</v>
      </c>
      <c r="N36" s="71">
        <f t="shared" si="8"/>
        <v>356160</v>
      </c>
      <c r="O36" s="73"/>
      <c r="P36" s="73">
        <v>356160</v>
      </c>
      <c r="Q36" s="73"/>
      <c r="R36" s="73">
        <v>355706280</v>
      </c>
      <c r="S36" s="22">
        <f t="shared" si="13"/>
        <v>0</v>
      </c>
      <c r="T36" s="22">
        <f t="shared" si="14"/>
        <v>0</v>
      </c>
      <c r="U36" s="73"/>
      <c r="V36" s="73"/>
      <c r="W36" s="73"/>
      <c r="X36" s="157">
        <f t="shared" si="9"/>
        <v>32209000</v>
      </c>
      <c r="Y36" s="157">
        <f t="shared" si="10"/>
        <v>129000</v>
      </c>
      <c r="Z36" s="22"/>
      <c r="AA36" s="22">
        <v>129000</v>
      </c>
      <c r="AB36" s="22">
        <v>32080000</v>
      </c>
      <c r="AC36" s="22"/>
    </row>
    <row r="37" spans="1:29" ht="31.5">
      <c r="A37" s="14" t="s">
        <v>122</v>
      </c>
      <c r="B37" s="22"/>
      <c r="C37" s="22"/>
      <c r="D37" s="22"/>
      <c r="E37" s="22"/>
      <c r="F37" s="74"/>
      <c r="G37" s="22"/>
      <c r="H37" s="75"/>
      <c r="I37" s="22"/>
      <c r="J37" s="22"/>
      <c r="K37" s="22"/>
      <c r="L37" s="22"/>
      <c r="M37" s="71">
        <f t="shared" si="12"/>
        <v>0</v>
      </c>
      <c r="N37" s="71">
        <f t="shared" si="8"/>
        <v>0</v>
      </c>
      <c r="O37" s="75"/>
      <c r="P37" s="71"/>
      <c r="Q37" s="71"/>
      <c r="R37" s="71"/>
      <c r="S37" s="22">
        <f t="shared" si="13"/>
        <v>1000</v>
      </c>
      <c r="T37" s="22">
        <v>1000</v>
      </c>
      <c r="U37" s="22"/>
      <c r="V37" s="22"/>
      <c r="W37" s="22"/>
      <c r="X37" s="157">
        <f t="shared" si="9"/>
        <v>0</v>
      </c>
      <c r="Y37" s="157">
        <f t="shared" si="10"/>
        <v>0</v>
      </c>
      <c r="Z37" s="22"/>
      <c r="AA37" s="22"/>
      <c r="AB37" s="22"/>
      <c r="AC37" s="22"/>
    </row>
    <row r="38" spans="1:29">
      <c r="A38" s="22" t="s">
        <v>145</v>
      </c>
      <c r="B38" s="22"/>
      <c r="C38" s="22"/>
      <c r="D38" s="22"/>
      <c r="E38" s="22"/>
      <c r="F38" s="74"/>
      <c r="G38" s="22">
        <v>0</v>
      </c>
      <c r="H38" s="75">
        <v>0</v>
      </c>
      <c r="I38" s="22"/>
      <c r="J38" s="22"/>
      <c r="K38" s="22"/>
      <c r="L38" s="22"/>
      <c r="M38" s="71">
        <f t="shared" si="12"/>
        <v>1587100</v>
      </c>
      <c r="N38" s="71">
        <f t="shared" si="8"/>
        <v>144300</v>
      </c>
      <c r="O38" s="71"/>
      <c r="P38" s="190">
        <v>144300</v>
      </c>
      <c r="Q38" s="71">
        <v>28900</v>
      </c>
      <c r="R38" s="71">
        <f>1442800</f>
        <v>1442800</v>
      </c>
      <c r="S38" s="22">
        <f t="shared" si="13"/>
        <v>1052631.58</v>
      </c>
      <c r="T38" s="22">
        <f t="shared" si="14"/>
        <v>52631.58</v>
      </c>
      <c r="U38" s="22"/>
      <c r="V38" s="22">
        <v>52631.58</v>
      </c>
      <c r="W38" s="22">
        <v>1000000</v>
      </c>
      <c r="X38" s="157">
        <f t="shared" si="9"/>
        <v>1052631.58</v>
      </c>
      <c r="Y38" s="157">
        <f t="shared" si="10"/>
        <v>52631.58</v>
      </c>
      <c r="Z38" s="22"/>
      <c r="AA38" s="22">
        <v>52631.58</v>
      </c>
      <c r="AB38" s="22">
        <v>1000000</v>
      </c>
      <c r="AC38" s="22"/>
    </row>
    <row r="39" spans="1:29">
      <c r="M39" s="167"/>
      <c r="N39" s="167"/>
      <c r="O39" s="167"/>
      <c r="P39" s="167"/>
      <c r="Q39" s="167"/>
      <c r="R39" s="167"/>
    </row>
    <row r="41" spans="1:29">
      <c r="M41" s="8" t="s">
        <v>167</v>
      </c>
    </row>
  </sheetData>
  <mergeCells count="13">
    <mergeCell ref="AC3:AC5"/>
    <mergeCell ref="A1:M1"/>
    <mergeCell ref="S3:S5"/>
    <mergeCell ref="X3:X5"/>
    <mergeCell ref="A3:A5"/>
    <mergeCell ref="B3:E3"/>
    <mergeCell ref="F3:J3"/>
    <mergeCell ref="L3:L5"/>
    <mergeCell ref="B4:B5"/>
    <mergeCell ref="C4:E4"/>
    <mergeCell ref="F4:F5"/>
    <mergeCell ref="G4:J4"/>
    <mergeCell ref="M3:R3"/>
  </mergeCells>
  <pageMargins left="0.19685039370078741" right="0.15748031496062992" top="0.39370078740157483" bottom="0.27559055118110237" header="0.31496062992125984" footer="0.15748031496062992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7"/>
  <sheetViews>
    <sheetView view="pageBreakPreview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9" sqref="L9"/>
    </sheetView>
  </sheetViews>
  <sheetFormatPr defaultRowHeight="15"/>
  <cols>
    <col min="1" max="1" width="23.28515625" style="35" customWidth="1"/>
    <col min="2" max="2" width="10.140625" style="35" customWidth="1"/>
    <col min="3" max="4" width="0" style="35" hidden="1" customWidth="1"/>
    <col min="5" max="5" width="9.42578125" style="35" hidden="1" customWidth="1"/>
    <col min="6" max="6" width="10.140625" style="35" customWidth="1"/>
    <col min="7" max="7" width="9.5703125" style="35" hidden="1" customWidth="1"/>
    <col min="8" max="8" width="9.140625" style="35" hidden="1" customWidth="1"/>
    <col min="9" max="9" width="9.85546875" style="35" hidden="1" customWidth="1"/>
    <col min="10" max="10" width="9.140625" style="35" hidden="1" customWidth="1"/>
    <col min="11" max="11" width="0" style="35" hidden="1" customWidth="1"/>
    <col min="12" max="12" width="8.140625" style="35" customWidth="1"/>
    <col min="13" max="13" width="10.140625" style="35" hidden="1" customWidth="1"/>
    <col min="14" max="14" width="11.140625" style="35" customWidth="1"/>
    <col min="15" max="15" width="11" style="35" customWidth="1"/>
    <col min="16" max="16" width="14.28515625" style="35" hidden="1" customWidth="1"/>
    <col min="17" max="17" width="11.42578125" style="35" hidden="1" customWidth="1"/>
    <col min="18" max="18" width="10.7109375" style="35" customWidth="1"/>
    <col min="19" max="19" width="50.42578125" style="35" customWidth="1"/>
    <col min="20" max="16384" width="9.140625" style="35"/>
  </cols>
  <sheetData>
    <row r="1" spans="1:19" ht="40.5" customHeight="1">
      <c r="A1" s="256" t="s">
        <v>71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3" spans="1:19" ht="15.75" customHeight="1">
      <c r="A3" s="205" t="s">
        <v>0</v>
      </c>
      <c r="B3" s="205" t="s">
        <v>1</v>
      </c>
      <c r="C3" s="205"/>
      <c r="D3" s="205"/>
      <c r="E3" s="205"/>
      <c r="F3" s="206" t="s">
        <v>2</v>
      </c>
      <c r="G3" s="206"/>
      <c r="H3" s="206"/>
      <c r="I3" s="206"/>
      <c r="J3" s="206"/>
      <c r="K3" s="34"/>
      <c r="L3" s="205" t="s">
        <v>72</v>
      </c>
      <c r="M3" s="206" t="s">
        <v>3</v>
      </c>
      <c r="N3" s="217" t="s">
        <v>66</v>
      </c>
      <c r="O3" s="214" t="s">
        <v>64</v>
      </c>
      <c r="P3" s="215"/>
      <c r="Q3" s="215"/>
      <c r="R3" s="206" t="s">
        <v>3</v>
      </c>
      <c r="S3" s="257" t="s">
        <v>81</v>
      </c>
    </row>
    <row r="4" spans="1:19" ht="15.75" customHeight="1">
      <c r="A4" s="205"/>
      <c r="B4" s="206" t="s">
        <v>43</v>
      </c>
      <c r="C4" s="205" t="s">
        <v>4</v>
      </c>
      <c r="D4" s="205"/>
      <c r="E4" s="205"/>
      <c r="F4" s="206" t="s">
        <v>69</v>
      </c>
      <c r="G4" s="205" t="s">
        <v>4</v>
      </c>
      <c r="H4" s="205"/>
      <c r="I4" s="205"/>
      <c r="J4" s="205"/>
      <c r="K4" s="34"/>
      <c r="L4" s="205"/>
      <c r="M4" s="206"/>
      <c r="N4" s="218"/>
      <c r="O4" s="205" t="s">
        <v>4</v>
      </c>
      <c r="P4" s="205"/>
      <c r="Q4" s="205"/>
      <c r="R4" s="206"/>
      <c r="S4" s="257"/>
    </row>
    <row r="5" spans="1:19" ht="78.75">
      <c r="A5" s="205"/>
      <c r="B5" s="206"/>
      <c r="C5" s="32" t="s">
        <v>5</v>
      </c>
      <c r="D5" s="32" t="s">
        <v>6</v>
      </c>
      <c r="E5" s="32" t="s">
        <v>7</v>
      </c>
      <c r="F5" s="206"/>
      <c r="G5" s="32" t="s">
        <v>5</v>
      </c>
      <c r="H5" s="32" t="s">
        <v>36</v>
      </c>
      <c r="I5" s="32" t="s">
        <v>7</v>
      </c>
      <c r="J5" s="10"/>
      <c r="K5" s="26" t="s">
        <v>6</v>
      </c>
      <c r="L5" s="205"/>
      <c r="M5" s="206"/>
      <c r="N5" s="218"/>
      <c r="O5" s="9" t="s">
        <v>5</v>
      </c>
      <c r="P5" s="9" t="s">
        <v>65</v>
      </c>
      <c r="Q5" s="9" t="s">
        <v>7</v>
      </c>
      <c r="R5" s="217"/>
      <c r="S5" s="257"/>
    </row>
    <row r="6" spans="1:19" ht="15.75">
      <c r="A6" s="32" t="s">
        <v>8</v>
      </c>
      <c r="B6" s="33">
        <f t="shared" ref="B6:M6" si="0">SUM(B7:B17)</f>
        <v>68271.700000000012</v>
      </c>
      <c r="C6" s="32">
        <f t="shared" si="0"/>
        <v>63188.999999999993</v>
      </c>
      <c r="D6" s="32">
        <f t="shared" si="0"/>
        <v>2760.4</v>
      </c>
      <c r="E6" s="32">
        <f t="shared" si="0"/>
        <v>2322.2999999999997</v>
      </c>
      <c r="F6" s="33">
        <f t="shared" si="0"/>
        <v>71774.10000000002</v>
      </c>
      <c r="G6" s="32">
        <f t="shared" ref="G6:L6" si="1">SUM(G7:G17)</f>
        <v>65813.900000000009</v>
      </c>
      <c r="H6" s="32">
        <f t="shared" si="1"/>
        <v>27678.2</v>
      </c>
      <c r="I6" s="32">
        <f t="shared" si="1"/>
        <v>2289.2000000000003</v>
      </c>
      <c r="J6" s="32">
        <f t="shared" si="1"/>
        <v>2259.1999999999998</v>
      </c>
      <c r="K6" s="32">
        <f t="shared" si="1"/>
        <v>3671</v>
      </c>
      <c r="L6" s="32">
        <f t="shared" si="1"/>
        <v>68103.10000000002</v>
      </c>
      <c r="M6" s="33">
        <f t="shared" si="0"/>
        <v>3502.4000000000024</v>
      </c>
      <c r="N6" s="24">
        <f>SUM(O6:Q6)</f>
        <v>68022.600000000006</v>
      </c>
      <c r="O6" s="27">
        <f>SUM(O7:O17)</f>
        <v>68022.600000000006</v>
      </c>
      <c r="P6" s="27">
        <f t="shared" ref="P6:Q6" si="2">SUM(P7:P17)</f>
        <v>0</v>
      </c>
      <c r="Q6" s="27">
        <f t="shared" si="2"/>
        <v>0</v>
      </c>
      <c r="R6" s="22">
        <f>N6-L6</f>
        <v>-80.500000000014552</v>
      </c>
      <c r="S6" s="10"/>
    </row>
    <row r="7" spans="1:19" ht="47.25">
      <c r="A7" s="4" t="s">
        <v>22</v>
      </c>
      <c r="B7" s="33">
        <f>SUM(C7:E7)</f>
        <v>1274.3</v>
      </c>
      <c r="C7" s="32">
        <v>1274.3</v>
      </c>
      <c r="D7" s="32"/>
      <c r="E7" s="32"/>
      <c r="F7" s="33">
        <f t="shared" ref="F7:F17" si="3">G7+I7+K7</f>
        <v>1533.1</v>
      </c>
      <c r="G7" s="13">
        <v>1533.1</v>
      </c>
      <c r="H7" s="32">
        <v>1037.4000000000001</v>
      </c>
      <c r="I7" s="32"/>
      <c r="J7" s="32"/>
      <c r="K7" s="32"/>
      <c r="L7" s="32">
        <f>G7+I7</f>
        <v>1533.1</v>
      </c>
      <c r="M7" s="33">
        <f>F7-B7</f>
        <v>258.79999999999995</v>
      </c>
      <c r="N7" s="24">
        <f>SUM(O7:Q7)</f>
        <v>1405.4</v>
      </c>
      <c r="O7" s="22">
        <v>1405.4</v>
      </c>
      <c r="P7" s="22"/>
      <c r="Q7" s="22"/>
      <c r="R7" s="22">
        <f>N7-L7</f>
        <v>-127.69999999999982</v>
      </c>
      <c r="S7" s="37" t="s">
        <v>73</v>
      </c>
    </row>
    <row r="8" spans="1:19" ht="54" customHeight="1">
      <c r="A8" s="4" t="s">
        <v>23</v>
      </c>
      <c r="B8" s="33">
        <f t="shared" ref="B8:B17" si="4">SUM(C8:E8)</f>
        <v>7383.8</v>
      </c>
      <c r="C8" s="32">
        <v>7081.2</v>
      </c>
      <c r="D8" s="13">
        <v>302.60000000000002</v>
      </c>
      <c r="E8" s="32"/>
      <c r="F8" s="33">
        <f t="shared" si="3"/>
        <v>6099.8</v>
      </c>
      <c r="G8" s="13">
        <v>5841.8</v>
      </c>
      <c r="H8" s="32">
        <v>4716.1000000000004</v>
      </c>
      <c r="I8" s="32"/>
      <c r="J8" s="32"/>
      <c r="K8" s="32">
        <v>258</v>
      </c>
      <c r="L8" s="32">
        <f t="shared" ref="L8:L17" si="5">G8+I8</f>
        <v>5841.8</v>
      </c>
      <c r="M8" s="33">
        <f t="shared" ref="M8:M17" si="6">F8-B8</f>
        <v>-1284</v>
      </c>
      <c r="N8" s="24">
        <f t="shared" ref="N8:N17" si="7">SUM(O8:Q8)</f>
        <v>5756.9</v>
      </c>
      <c r="O8" s="22">
        <v>5756.9</v>
      </c>
      <c r="P8" s="22"/>
      <c r="Q8" s="22"/>
      <c r="R8" s="22">
        <f t="shared" ref="R8:R17" si="8">N8-L8</f>
        <v>-84.900000000000546</v>
      </c>
      <c r="S8" s="37" t="s">
        <v>74</v>
      </c>
    </row>
    <row r="9" spans="1:19" ht="63" customHeight="1">
      <c r="A9" s="4" t="s">
        <v>24</v>
      </c>
      <c r="B9" s="33">
        <f t="shared" si="4"/>
        <v>29539</v>
      </c>
      <c r="C9" s="32">
        <v>26530.5</v>
      </c>
      <c r="D9" s="32">
        <v>688.3</v>
      </c>
      <c r="E9" s="32">
        <v>2320.1999999999998</v>
      </c>
      <c r="F9" s="33">
        <f t="shared" si="3"/>
        <v>32384.800000000003</v>
      </c>
      <c r="G9" s="13">
        <v>28098.9</v>
      </c>
      <c r="H9" s="32">
        <v>19384.2</v>
      </c>
      <c r="I9" s="32">
        <v>2284.4</v>
      </c>
      <c r="J9" s="32">
        <v>2256.5</v>
      </c>
      <c r="K9" s="32">
        <v>2001.5</v>
      </c>
      <c r="L9" s="32">
        <f t="shared" si="5"/>
        <v>30383.300000000003</v>
      </c>
      <c r="M9" s="33">
        <f t="shared" si="6"/>
        <v>2845.8000000000029</v>
      </c>
      <c r="N9" s="24">
        <f t="shared" si="7"/>
        <v>30413.8</v>
      </c>
      <c r="O9" s="22">
        <f>29413.8+1000</f>
        <v>30413.8</v>
      </c>
      <c r="P9" s="22"/>
      <c r="Q9" s="22"/>
      <c r="R9" s="22">
        <f t="shared" si="8"/>
        <v>30.499999999996362</v>
      </c>
      <c r="S9" s="37" t="s">
        <v>75</v>
      </c>
    </row>
    <row r="10" spans="1:19" ht="40.5" customHeight="1">
      <c r="A10" s="4" t="s">
        <v>25</v>
      </c>
      <c r="B10" s="33">
        <f t="shared" si="4"/>
        <v>12805.7</v>
      </c>
      <c r="C10" s="32">
        <v>11036.2</v>
      </c>
      <c r="D10" s="32">
        <v>1769.5</v>
      </c>
      <c r="E10" s="32"/>
      <c r="F10" s="33">
        <f t="shared" si="3"/>
        <v>13799.2</v>
      </c>
      <c r="G10" s="13">
        <v>12387.7</v>
      </c>
      <c r="H10" s="32"/>
      <c r="I10" s="32"/>
      <c r="J10" s="32"/>
      <c r="K10" s="32">
        <v>1411.5</v>
      </c>
      <c r="L10" s="32">
        <f t="shared" si="5"/>
        <v>12387.7</v>
      </c>
      <c r="M10" s="33">
        <f t="shared" si="6"/>
        <v>993.5</v>
      </c>
      <c r="N10" s="24">
        <f t="shared" si="7"/>
        <v>12929.4</v>
      </c>
      <c r="O10" s="22">
        <v>12929.4</v>
      </c>
      <c r="P10" s="22"/>
      <c r="Q10" s="22"/>
      <c r="R10" s="22">
        <f t="shared" si="8"/>
        <v>541.69999999999891</v>
      </c>
      <c r="S10" s="37" t="s">
        <v>76</v>
      </c>
    </row>
    <row r="11" spans="1:19" ht="36" customHeight="1">
      <c r="A11" s="4" t="s">
        <v>26</v>
      </c>
      <c r="B11" s="33">
        <f t="shared" si="4"/>
        <v>3227.9</v>
      </c>
      <c r="C11" s="32">
        <v>3225.8</v>
      </c>
      <c r="D11" s="32"/>
      <c r="E11" s="32">
        <v>2.1</v>
      </c>
      <c r="F11" s="33">
        <f t="shared" si="3"/>
        <v>3568.1000000000004</v>
      </c>
      <c r="G11" s="13">
        <v>3563.3</v>
      </c>
      <c r="H11" s="32">
        <v>2540.5</v>
      </c>
      <c r="I11" s="32">
        <v>4.8</v>
      </c>
      <c r="J11" s="32">
        <v>2.7</v>
      </c>
      <c r="K11" s="32"/>
      <c r="L11" s="32">
        <f t="shared" si="5"/>
        <v>3568.1000000000004</v>
      </c>
      <c r="M11" s="33">
        <f t="shared" si="6"/>
        <v>340.20000000000027</v>
      </c>
      <c r="N11" s="24">
        <f t="shared" si="7"/>
        <v>3257.6</v>
      </c>
      <c r="O11" s="22">
        <v>3257.6</v>
      </c>
      <c r="P11" s="22"/>
      <c r="Q11" s="22"/>
      <c r="R11" s="22">
        <f t="shared" si="8"/>
        <v>-310.50000000000045</v>
      </c>
      <c r="S11" s="37" t="s">
        <v>77</v>
      </c>
    </row>
    <row r="12" spans="1:19" ht="21" customHeight="1">
      <c r="A12" s="4" t="s">
        <v>27</v>
      </c>
      <c r="B12" s="33">
        <f t="shared" si="4"/>
        <v>2263.1</v>
      </c>
      <c r="C12" s="32">
        <v>2263.1</v>
      </c>
      <c r="D12" s="32"/>
      <c r="E12" s="32"/>
      <c r="F12" s="33">
        <f t="shared" si="3"/>
        <v>2405.8000000000002</v>
      </c>
      <c r="G12" s="13">
        <v>2405.8000000000002</v>
      </c>
      <c r="H12" s="32"/>
      <c r="I12" s="32"/>
      <c r="J12" s="32"/>
      <c r="K12" s="32"/>
      <c r="L12" s="32">
        <f t="shared" si="5"/>
        <v>2405.8000000000002</v>
      </c>
      <c r="M12" s="33">
        <f t="shared" si="6"/>
        <v>142.70000000000027</v>
      </c>
      <c r="N12" s="24">
        <f t="shared" si="7"/>
        <v>2404.1</v>
      </c>
      <c r="O12" s="22">
        <v>2404.1</v>
      </c>
      <c r="P12" s="22"/>
      <c r="Q12" s="22"/>
      <c r="R12" s="22">
        <f t="shared" si="8"/>
        <v>-1.7000000000002728</v>
      </c>
      <c r="S12" s="37"/>
    </row>
    <row r="13" spans="1:19" ht="36" customHeight="1">
      <c r="A13" s="4" t="s">
        <v>28</v>
      </c>
      <c r="B13" s="33">
        <f t="shared" si="4"/>
        <v>6274.6</v>
      </c>
      <c r="C13" s="32">
        <v>6274.6</v>
      </c>
      <c r="D13" s="5"/>
      <c r="E13" s="32"/>
      <c r="F13" s="33">
        <f t="shared" si="3"/>
        <v>5955.2</v>
      </c>
      <c r="G13" s="13">
        <v>5955.2</v>
      </c>
      <c r="H13" s="32"/>
      <c r="I13" s="32"/>
      <c r="J13" s="32"/>
      <c r="K13" s="32"/>
      <c r="L13" s="32">
        <f t="shared" si="5"/>
        <v>5955.2</v>
      </c>
      <c r="M13" s="33">
        <f t="shared" si="6"/>
        <v>-319.40000000000055</v>
      </c>
      <c r="N13" s="24">
        <f t="shared" si="7"/>
        <v>6186.2</v>
      </c>
      <c r="O13" s="22">
        <v>6186.2</v>
      </c>
      <c r="P13" s="22"/>
      <c r="Q13" s="22"/>
      <c r="R13" s="22">
        <f t="shared" si="8"/>
        <v>231</v>
      </c>
      <c r="S13" s="37" t="s">
        <v>78</v>
      </c>
    </row>
    <row r="14" spans="1:19" ht="24.75" customHeight="1">
      <c r="A14" s="4" t="s">
        <v>29</v>
      </c>
      <c r="B14" s="33">
        <f t="shared" si="4"/>
        <v>1071.5999999999999</v>
      </c>
      <c r="C14" s="32">
        <v>1071.5999999999999</v>
      </c>
      <c r="D14" s="32"/>
      <c r="E14" s="32"/>
      <c r="F14" s="33">
        <f t="shared" si="3"/>
        <v>1012.8</v>
      </c>
      <c r="G14" s="13">
        <v>1012.8</v>
      </c>
      <c r="H14" s="32"/>
      <c r="I14" s="32"/>
      <c r="J14" s="32"/>
      <c r="K14" s="32"/>
      <c r="L14" s="32">
        <f t="shared" si="5"/>
        <v>1012.8</v>
      </c>
      <c r="M14" s="33">
        <f t="shared" si="6"/>
        <v>-58.799999999999955</v>
      </c>
      <c r="N14" s="24">
        <f t="shared" si="7"/>
        <v>495.3</v>
      </c>
      <c r="O14" s="22">
        <f>312.5+182.8</f>
        <v>495.3</v>
      </c>
      <c r="P14" s="22"/>
      <c r="Q14" s="22"/>
      <c r="R14" s="22">
        <f t="shared" si="8"/>
        <v>-517.5</v>
      </c>
      <c r="S14" s="37"/>
    </row>
    <row r="15" spans="1:19" ht="23.25" customHeight="1">
      <c r="A15" s="4" t="s">
        <v>30</v>
      </c>
      <c r="B15" s="33">
        <f t="shared" si="4"/>
        <v>4174.1000000000004</v>
      </c>
      <c r="C15" s="32">
        <v>4174.1000000000004</v>
      </c>
      <c r="D15" s="32"/>
      <c r="E15" s="32"/>
      <c r="F15" s="33">
        <f t="shared" si="3"/>
        <v>4907.7</v>
      </c>
      <c r="G15" s="13">
        <v>4907.7</v>
      </c>
      <c r="H15" s="32"/>
      <c r="I15" s="32"/>
      <c r="J15" s="32"/>
      <c r="K15" s="32"/>
      <c r="L15" s="32">
        <f t="shared" si="5"/>
        <v>4907.7</v>
      </c>
      <c r="M15" s="33">
        <f t="shared" si="6"/>
        <v>733.59999999999945</v>
      </c>
      <c r="N15" s="24">
        <f t="shared" si="7"/>
        <v>4947.3</v>
      </c>
      <c r="O15" s="22">
        <v>4947.3</v>
      </c>
      <c r="P15" s="22"/>
      <c r="Q15" s="22"/>
      <c r="R15" s="22">
        <f t="shared" si="8"/>
        <v>39.600000000000364</v>
      </c>
      <c r="S15" s="37" t="s">
        <v>79</v>
      </c>
    </row>
    <row r="16" spans="1:19" ht="31.5">
      <c r="A16" s="4" t="s">
        <v>42</v>
      </c>
      <c r="B16" s="33">
        <f t="shared" si="4"/>
        <v>107.6</v>
      </c>
      <c r="C16" s="32">
        <v>107.6</v>
      </c>
      <c r="D16" s="32"/>
      <c r="E16" s="32"/>
      <c r="F16" s="33">
        <f t="shared" si="3"/>
        <v>107.6</v>
      </c>
      <c r="G16" s="13">
        <v>107.6</v>
      </c>
      <c r="H16" s="32"/>
      <c r="I16" s="32"/>
      <c r="J16" s="32"/>
      <c r="K16" s="32"/>
      <c r="L16" s="32">
        <f t="shared" si="5"/>
        <v>107.6</v>
      </c>
      <c r="M16" s="33">
        <f t="shared" si="6"/>
        <v>0</v>
      </c>
      <c r="N16" s="24">
        <f t="shared" si="7"/>
        <v>107.6</v>
      </c>
      <c r="O16" s="22">
        <v>107.6</v>
      </c>
      <c r="P16" s="22"/>
      <c r="Q16" s="22"/>
      <c r="R16" s="22">
        <f t="shared" si="8"/>
        <v>0</v>
      </c>
      <c r="S16" s="37"/>
    </row>
    <row r="17" spans="1:19" ht="39" customHeight="1">
      <c r="A17" s="4" t="s">
        <v>70</v>
      </c>
      <c r="B17" s="33">
        <f t="shared" si="4"/>
        <v>150</v>
      </c>
      <c r="C17" s="5">
        <v>150</v>
      </c>
      <c r="D17" s="32"/>
      <c r="E17" s="32"/>
      <c r="F17" s="33">
        <f t="shared" si="3"/>
        <v>0</v>
      </c>
      <c r="G17" s="32"/>
      <c r="H17" s="32"/>
      <c r="I17" s="32"/>
      <c r="J17" s="32"/>
      <c r="K17" s="32"/>
      <c r="L17" s="32">
        <f t="shared" si="5"/>
        <v>0</v>
      </c>
      <c r="M17" s="33">
        <f t="shared" si="6"/>
        <v>-150</v>
      </c>
      <c r="N17" s="24">
        <f t="shared" si="7"/>
        <v>119</v>
      </c>
      <c r="O17" s="22">
        <v>119</v>
      </c>
      <c r="P17" s="22"/>
      <c r="Q17" s="22"/>
      <c r="R17" s="22">
        <f t="shared" si="8"/>
        <v>119</v>
      </c>
      <c r="S17" s="37" t="s">
        <v>80</v>
      </c>
    </row>
  </sheetData>
  <mergeCells count="15">
    <mergeCell ref="S3:S5"/>
    <mergeCell ref="O3:Q3"/>
    <mergeCell ref="R3:R5"/>
    <mergeCell ref="B4:B5"/>
    <mergeCell ref="C4:E4"/>
    <mergeCell ref="F4:F5"/>
    <mergeCell ref="G4:J4"/>
    <mergeCell ref="O4:Q4"/>
    <mergeCell ref="L3:L5"/>
    <mergeCell ref="N3:N5"/>
    <mergeCell ref="A1:M1"/>
    <mergeCell ref="A3:A5"/>
    <mergeCell ref="B3:E3"/>
    <mergeCell ref="F3:J3"/>
    <mergeCell ref="M3:M5"/>
  </mergeCells>
  <pageMargins left="0.59055118110236227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СВОД</vt:lpstr>
      <vt:lpstr>Администрация</vt:lpstr>
      <vt:lpstr>Отдел по образованию</vt:lpstr>
      <vt:lpstr>Финансовый отдел</vt:lpstr>
      <vt:lpstr>Дума</vt:lpstr>
      <vt:lpstr>КСП</vt:lpstr>
      <vt:lpstr>Муниципальные программы</vt:lpstr>
      <vt:lpstr>Обьяснение роста</vt:lpstr>
      <vt:lpstr>Администрация!Область_печати</vt:lpstr>
      <vt:lpstr>'Обьяснение роста'!Область_печати</vt:lpstr>
      <vt:lpstr>'Отдел по образованию'!Область_печати</vt:lpstr>
      <vt:lpstr>СВОД!Область_печати</vt:lpstr>
      <vt:lpstr>'Финансовый отдел'!Область_печати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Аухадиев Андрей Линарович</dc:creator>
  <cp:lastModifiedBy>Хмара Ирина Александровна</cp:lastModifiedBy>
  <cp:lastPrinted>2023-11-09T07:27:30Z</cp:lastPrinted>
  <dcterms:created xsi:type="dcterms:W3CDTF">2016-11-17T06:33:01Z</dcterms:created>
  <dcterms:modified xsi:type="dcterms:W3CDTF">2023-11-14T07:48:55Z</dcterms:modified>
</cp:coreProperties>
</file>