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115" windowHeight="8700"/>
  </bookViews>
  <sheets>
    <sheet name="1" sheetId="5" r:id="rId1"/>
  </sheets>
  <definedNames>
    <definedName name="_xlnm.Print_Area" localSheetId="0">'1'!$A$1:$BA$50</definedName>
  </definedNames>
  <calcPr calcId="145621"/>
</workbook>
</file>

<file path=xl/calcChain.xml><?xml version="1.0" encoding="utf-8"?>
<calcChain xmlns="http://schemas.openxmlformats.org/spreadsheetml/2006/main">
  <c r="BA32" i="5" l="1"/>
  <c r="AZ32" i="5"/>
  <c r="BA31" i="5"/>
  <c r="BA30" i="5"/>
  <c r="BA29" i="5"/>
  <c r="BA28" i="5"/>
  <c r="BA27" i="5"/>
  <c r="BA26" i="5"/>
  <c r="BA25" i="5"/>
  <c r="BA24" i="5"/>
  <c r="BA23" i="5"/>
  <c r="BA22" i="5"/>
  <c r="BA21" i="5"/>
  <c r="BA20" i="5"/>
  <c r="BA19" i="5"/>
  <c r="BA18" i="5"/>
  <c r="BA17" i="5"/>
  <c r="BA16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BA15" i="5"/>
  <c r="AZ15" i="5"/>
  <c r="AU31" i="5" l="1"/>
  <c r="AU30" i="5"/>
  <c r="AU29" i="5"/>
  <c r="AU28" i="5"/>
  <c r="AU27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X32" i="5"/>
  <c r="AU32" i="5" l="1"/>
  <c r="AV32" i="5" l="1"/>
  <c r="E17" i="5"/>
  <c r="H17" i="5"/>
  <c r="L17" i="5"/>
  <c r="E18" i="5"/>
  <c r="H18" i="5"/>
  <c r="L18" i="5"/>
  <c r="E19" i="5"/>
  <c r="H19" i="5"/>
  <c r="L19" i="5"/>
  <c r="E21" i="5"/>
  <c r="H21" i="5"/>
  <c r="L21" i="5"/>
  <c r="E22" i="5"/>
  <c r="H22" i="5"/>
  <c r="L22" i="5"/>
  <c r="E23" i="5"/>
  <c r="H23" i="5"/>
  <c r="L23" i="5"/>
  <c r="E24" i="5"/>
  <c r="H24" i="5"/>
  <c r="L24" i="5"/>
  <c r="E25" i="5"/>
  <c r="H25" i="5"/>
  <c r="L25" i="5"/>
  <c r="E27" i="5"/>
  <c r="H27" i="5"/>
  <c r="L27" i="5"/>
  <c r="E29" i="5"/>
  <c r="H29" i="5"/>
  <c r="L29" i="5"/>
  <c r="E30" i="5"/>
  <c r="H30" i="5"/>
  <c r="L30" i="5"/>
  <c r="E31" i="5"/>
  <c r="H31" i="5"/>
  <c r="L31" i="5"/>
  <c r="AW32" i="5"/>
  <c r="E15" i="5"/>
  <c r="H15" i="5"/>
  <c r="L15" i="5"/>
  <c r="AJ15" i="5"/>
  <c r="AK15" i="5" s="1"/>
  <c r="N15" i="5"/>
  <c r="Q15" i="5" s="1"/>
  <c r="N17" i="5"/>
  <c r="Q17" i="5" s="1"/>
  <c r="AQ17" i="5" s="1"/>
  <c r="N18" i="5"/>
  <c r="Q18" i="5" s="1"/>
  <c r="AQ18" i="5" s="1"/>
  <c r="M19" i="5"/>
  <c r="M32" i="5" s="1"/>
  <c r="N21" i="5"/>
  <c r="Q21" i="5" s="1"/>
  <c r="AQ21" i="5" s="1"/>
  <c r="N22" i="5"/>
  <c r="Q22" i="5" s="1"/>
  <c r="AQ22" i="5" s="1"/>
  <c r="N23" i="5"/>
  <c r="Q23" i="5" s="1"/>
  <c r="AQ23" i="5" s="1"/>
  <c r="N24" i="5"/>
  <c r="Q24" i="5" s="1"/>
  <c r="AQ24" i="5" s="1"/>
  <c r="N25" i="5"/>
  <c r="Q25" i="5" s="1"/>
  <c r="AQ25" i="5" s="1"/>
  <c r="N27" i="5"/>
  <c r="Q27" i="5" s="1"/>
  <c r="AQ27" i="5" s="1"/>
  <c r="N29" i="5"/>
  <c r="Q29" i="5" s="1"/>
  <c r="AQ29" i="5" s="1"/>
  <c r="N30" i="5"/>
  <c r="Q30" i="5" s="1"/>
  <c r="AQ30" i="5" s="1"/>
  <c r="N31" i="5"/>
  <c r="Q31" i="5" s="1"/>
  <c r="AQ31" i="5" s="1"/>
  <c r="AF31" i="5"/>
  <c r="AI31" i="5" s="1"/>
  <c r="AF30" i="5"/>
  <c r="AI30" i="5" s="1"/>
  <c r="AF29" i="5"/>
  <c r="AI29" i="5" s="1"/>
  <c r="AF27" i="5"/>
  <c r="AN27" i="5" s="1"/>
  <c r="AF25" i="5"/>
  <c r="AN25" i="5" s="1"/>
  <c r="AF24" i="5"/>
  <c r="AN24" i="5" s="1"/>
  <c r="AF23" i="5"/>
  <c r="AN23" i="5" s="1"/>
  <c r="AF22" i="5"/>
  <c r="AF21" i="5"/>
  <c r="AN21" i="5" s="1"/>
  <c r="AF19" i="5"/>
  <c r="AN19" i="5" s="1"/>
  <c r="AF18" i="5"/>
  <c r="AI18" i="5" s="1"/>
  <c r="AF17" i="5"/>
  <c r="AI17" i="5" s="1"/>
  <c r="AF15" i="5"/>
  <c r="AN15" i="5" s="1"/>
  <c r="AN18" i="5"/>
  <c r="AE15" i="5"/>
  <c r="AG15" i="5" s="1"/>
  <c r="AE17" i="5"/>
  <c r="AE18" i="5"/>
  <c r="AG18" i="5" s="1"/>
  <c r="AE19" i="5"/>
  <c r="AM19" i="5" s="1"/>
  <c r="AE21" i="5"/>
  <c r="AM21" i="5" s="1"/>
  <c r="AE22" i="5"/>
  <c r="AG22" i="5" s="1"/>
  <c r="AE23" i="5"/>
  <c r="AM23" i="5" s="1"/>
  <c r="AE24" i="5"/>
  <c r="AE25" i="5"/>
  <c r="AM25" i="5" s="1"/>
  <c r="AE27" i="5"/>
  <c r="AM27" i="5" s="1"/>
  <c r="AE29" i="5"/>
  <c r="AM29" i="5" s="1"/>
  <c r="AE30" i="5"/>
  <c r="AM30" i="5" s="1"/>
  <c r="AE31" i="5"/>
  <c r="AM31" i="5" s="1"/>
  <c r="C15" i="5"/>
  <c r="T15" i="5" s="1"/>
  <c r="AD15" i="5"/>
  <c r="AH15" i="5" s="1"/>
  <c r="C17" i="5"/>
  <c r="S17" i="5" s="1"/>
  <c r="C18" i="5"/>
  <c r="U18" i="5" s="1"/>
  <c r="V18" i="5"/>
  <c r="C19" i="5"/>
  <c r="U19" i="5"/>
  <c r="C21" i="5"/>
  <c r="T21" i="5" s="1"/>
  <c r="AG21" i="5"/>
  <c r="C22" i="5"/>
  <c r="C23" i="5"/>
  <c r="AD23" i="5" s="1"/>
  <c r="C24" i="5"/>
  <c r="U24" i="5" s="1"/>
  <c r="AD24" i="5"/>
  <c r="C25" i="5"/>
  <c r="S25" i="5" s="1"/>
  <c r="C27" i="5"/>
  <c r="V27" i="5"/>
  <c r="T27" i="5"/>
  <c r="AD27" i="5"/>
  <c r="C29" i="5"/>
  <c r="S29" i="5"/>
  <c r="T29" i="5"/>
  <c r="U29" i="5"/>
  <c r="V29" i="5"/>
  <c r="W29" i="5"/>
  <c r="AD29" i="5"/>
  <c r="C30" i="5"/>
  <c r="T30" i="5"/>
  <c r="C31" i="5"/>
  <c r="V31" i="5" s="1"/>
  <c r="B32" i="5"/>
  <c r="D32" i="5"/>
  <c r="F32" i="5"/>
  <c r="G32" i="5"/>
  <c r="I32" i="5"/>
  <c r="K32" i="5"/>
  <c r="O32" i="5"/>
  <c r="R32" i="5"/>
  <c r="Y32" i="5"/>
  <c r="AA32" i="5"/>
  <c r="U25" i="5"/>
  <c r="W27" i="5"/>
  <c r="U21" i="5"/>
  <c r="AD21" i="5"/>
  <c r="AH21" i="5" s="1"/>
  <c r="V21" i="5"/>
  <c r="AG25" i="5"/>
  <c r="AM15" i="5"/>
  <c r="AI24" i="5"/>
  <c r="AI22" i="5"/>
  <c r="AN22" i="5"/>
  <c r="AI27" i="5"/>
  <c r="N19" i="5"/>
  <c r="Q19" i="5" s="1"/>
  <c r="AQ19" i="5" s="1"/>
  <c r="U27" i="5"/>
  <c r="AG27" i="5"/>
  <c r="AH27" i="5" s="1"/>
  <c r="S27" i="5"/>
  <c r="V19" i="5"/>
  <c r="S19" i="5"/>
  <c r="X19" i="5" s="1"/>
  <c r="AD18" i="5"/>
  <c r="T18" i="5"/>
  <c r="S18" i="5"/>
  <c r="W15" i="5"/>
  <c r="S15" i="5"/>
  <c r="AM22" i="5"/>
  <c r="AD19" i="5"/>
  <c r="AD31" i="5"/>
  <c r="AG31" i="5"/>
  <c r="AM17" i="5"/>
  <c r="AG17" i="5"/>
  <c r="AL15" i="5"/>
  <c r="V30" i="5"/>
  <c r="T19" i="5"/>
  <c r="W19" i="5"/>
  <c r="U15" i="5"/>
  <c r="V15" i="5"/>
  <c r="AM18" i="5"/>
  <c r="AH18" i="5"/>
  <c r="AI15" i="5"/>
  <c r="W31" i="5" l="1"/>
  <c r="S23" i="5"/>
  <c r="AD25" i="5"/>
  <c r="T24" i="5"/>
  <c r="W18" i="5"/>
  <c r="AN31" i="5"/>
  <c r="C32" i="5"/>
  <c r="U31" i="5"/>
  <c r="AH31" i="5"/>
  <c r="AG29" i="5"/>
  <c r="AH29" i="5" s="1"/>
  <c r="AI21" i="5"/>
  <c r="W23" i="5"/>
  <c r="X15" i="5"/>
  <c r="X27" i="5"/>
  <c r="N32" i="5"/>
  <c r="AH25" i="5"/>
  <c r="W24" i="5"/>
  <c r="S24" i="5"/>
  <c r="V23" i="5"/>
  <c r="AG23" i="5"/>
  <c r="AH23" i="5" s="1"/>
  <c r="AI23" i="5"/>
  <c r="AI25" i="5"/>
  <c r="AN30" i="5"/>
  <c r="L32" i="5"/>
  <c r="P31" i="5"/>
  <c r="AJ31" i="5" s="1"/>
  <c r="AK31" i="5" s="1"/>
  <c r="P29" i="5"/>
  <c r="AJ29" i="5" s="1"/>
  <c r="AK29" i="5" s="1"/>
  <c r="P25" i="5"/>
  <c r="P23" i="5"/>
  <c r="P21" i="5"/>
  <c r="AJ21" i="5" s="1"/>
  <c r="AK21" i="5" s="1"/>
  <c r="P18" i="5"/>
  <c r="AJ18" i="5" s="1"/>
  <c r="AK18" i="5" s="1"/>
  <c r="H32" i="5"/>
  <c r="X29" i="5"/>
  <c r="X18" i="5"/>
  <c r="P30" i="5"/>
  <c r="AJ30" i="5" s="1"/>
  <c r="AK30" i="5" s="1"/>
  <c r="P27" i="5"/>
  <c r="AJ27" i="5" s="1"/>
  <c r="AK27" i="5" s="1"/>
  <c r="P24" i="5"/>
  <c r="P22" i="5"/>
  <c r="AJ22" i="5" s="1"/>
  <c r="AK22" i="5" s="1"/>
  <c r="P19" i="5"/>
  <c r="AJ19" i="5" s="1"/>
  <c r="AK19" i="5" s="1"/>
  <c r="AJ25" i="5"/>
  <c r="AK25" i="5" s="1"/>
  <c r="Z29" i="5"/>
  <c r="AB29" i="5" s="1"/>
  <c r="AC29" i="5" s="1"/>
  <c r="AJ23" i="5"/>
  <c r="AK23" i="5" s="1"/>
  <c r="AJ24" i="5"/>
  <c r="AK24" i="5" s="1"/>
  <c r="V22" i="5"/>
  <c r="W22" i="5"/>
  <c r="AM24" i="5"/>
  <c r="AM32" i="5" s="1"/>
  <c r="AG24" i="5"/>
  <c r="AH24" i="5" s="1"/>
  <c r="U22" i="5"/>
  <c r="W30" i="5"/>
  <c r="AD30" i="5"/>
  <c r="T17" i="5"/>
  <c r="U17" i="5"/>
  <c r="AQ15" i="5"/>
  <c r="AQ32" i="5" s="1"/>
  <c r="Q32" i="5"/>
  <c r="Q34" i="5" s="1"/>
  <c r="P17" i="5"/>
  <c r="Z15" i="5"/>
  <c r="S30" i="5"/>
  <c r="AE32" i="5"/>
  <c r="AI19" i="5"/>
  <c r="AD22" i="5"/>
  <c r="AH22" i="5" s="1"/>
  <c r="T22" i="5"/>
  <c r="AD17" i="5"/>
  <c r="AH17" i="5" s="1"/>
  <c r="AN29" i="5"/>
  <c r="AN17" i="5"/>
  <c r="AF32" i="5"/>
  <c r="E32" i="5"/>
  <c r="AG30" i="5"/>
  <c r="U30" i="5"/>
  <c r="W21" i="5"/>
  <c r="S21" i="5"/>
  <c r="X21" i="5" s="1"/>
  <c r="Z21" i="5" s="1"/>
  <c r="AB21" i="5" s="1"/>
  <c r="W17" i="5"/>
  <c r="U23" i="5"/>
  <c r="U32" i="5" s="1"/>
  <c r="T31" i="5"/>
  <c r="S31" i="5"/>
  <c r="T25" i="5"/>
  <c r="W25" i="5"/>
  <c r="V25" i="5"/>
  <c r="V24" i="5"/>
  <c r="T23" i="5"/>
  <c r="S22" i="5"/>
  <c r="AG19" i="5"/>
  <c r="AH19" i="5" s="1"/>
  <c r="V17" i="5"/>
  <c r="AP15" i="5"/>
  <c r="AS15" i="5"/>
  <c r="AN32" i="5" l="1"/>
  <c r="AI32" i="5"/>
  <c r="Z19" i="5"/>
  <c r="AB19" i="5" s="1"/>
  <c r="AC19" i="5" s="1"/>
  <c r="V32" i="5"/>
  <c r="X24" i="5"/>
  <c r="Z24" i="5" s="1"/>
  <c r="AB24" i="5" s="1"/>
  <c r="AC24" i="5" s="1"/>
  <c r="X31" i="5"/>
  <c r="Z31" i="5" s="1"/>
  <c r="AB31" i="5" s="1"/>
  <c r="AC31" i="5" s="1"/>
  <c r="Z27" i="5"/>
  <c r="AB27" i="5" s="1"/>
  <c r="AC27" i="5" s="1"/>
  <c r="X22" i="5"/>
  <c r="Z22" i="5" s="1"/>
  <c r="AB22" i="5" s="1"/>
  <c r="X17" i="5"/>
  <c r="Z18" i="5"/>
  <c r="AB18" i="5" s="1"/>
  <c r="X23" i="5"/>
  <c r="Z23" i="5" s="1"/>
  <c r="AB23" i="5" s="1"/>
  <c r="AC23" i="5" s="1"/>
  <c r="X25" i="5"/>
  <c r="Z25" i="5" s="1"/>
  <c r="AB25" i="5" s="1"/>
  <c r="AC25" i="5" s="1"/>
  <c r="AR15" i="5"/>
  <c r="AP24" i="5"/>
  <c r="AR24" i="5" s="1"/>
  <c r="AS24" i="5"/>
  <c r="AL24" i="5"/>
  <c r="AP18" i="5"/>
  <c r="AR18" i="5" s="1"/>
  <c r="AS18" i="5"/>
  <c r="AL18" i="5"/>
  <c r="W32" i="5"/>
  <c r="AD32" i="5"/>
  <c r="X30" i="5"/>
  <c r="Z30" i="5" s="1"/>
  <c r="AB30" i="5" s="1"/>
  <c r="AC30" i="5" s="1"/>
  <c r="AS27" i="5"/>
  <c r="AL27" i="5"/>
  <c r="AP27" i="5"/>
  <c r="AR27" i="5" s="1"/>
  <c r="AT27" i="5" s="1"/>
  <c r="AL21" i="5"/>
  <c r="AS21" i="5"/>
  <c r="AP21" i="5"/>
  <c r="AR21" i="5" s="1"/>
  <c r="AT21" i="5" s="1"/>
  <c r="AS25" i="5"/>
  <c r="AL25" i="5"/>
  <c r="AP25" i="5"/>
  <c r="AR25" i="5" s="1"/>
  <c r="AG32" i="5"/>
  <c r="AB15" i="5"/>
  <c r="AP19" i="5"/>
  <c r="AR19" i="5" s="1"/>
  <c r="AS19" i="5"/>
  <c r="AL19" i="5"/>
  <c r="AL30" i="5"/>
  <c r="AP30" i="5"/>
  <c r="AR30" i="5" s="1"/>
  <c r="AS30" i="5"/>
  <c r="AL23" i="5"/>
  <c r="AS23" i="5"/>
  <c r="AP23" i="5"/>
  <c r="AR23" i="5" s="1"/>
  <c r="AT23" i="5" s="1"/>
  <c r="S32" i="5"/>
  <c r="AH30" i="5"/>
  <c r="AH32" i="5" s="1"/>
  <c r="AJ17" i="5"/>
  <c r="Z17" i="5"/>
  <c r="AB17" i="5" s="1"/>
  <c r="AC17" i="5" s="1"/>
  <c r="P32" i="5"/>
  <c r="AL29" i="5"/>
  <c r="AS29" i="5"/>
  <c r="AP29" i="5"/>
  <c r="AR29" i="5" s="1"/>
  <c r="AT29" i="5" s="1"/>
  <c r="AP22" i="5"/>
  <c r="AR22" i="5" s="1"/>
  <c r="AS22" i="5"/>
  <c r="AL22" i="5"/>
  <c r="AS31" i="5"/>
  <c r="AP31" i="5"/>
  <c r="AR31" i="5" s="1"/>
  <c r="AL31" i="5"/>
  <c r="X32" i="5" l="1"/>
  <c r="AT18" i="5"/>
  <c r="AC15" i="5"/>
  <c r="AC32" i="5" s="1"/>
  <c r="AC35" i="5" s="1"/>
  <c r="AB32" i="5"/>
  <c r="AT15" i="5"/>
  <c r="AK17" i="5"/>
  <c r="AJ32" i="5"/>
  <c r="AT30" i="5"/>
  <c r="AT19" i="5"/>
  <c r="AT25" i="5"/>
  <c r="AT31" i="5"/>
  <c r="AT22" i="5"/>
  <c r="Z32" i="5"/>
  <c r="AT24" i="5"/>
  <c r="AL17" i="5" l="1"/>
  <c r="AL32" i="5" s="1"/>
  <c r="AS17" i="5"/>
  <c r="AS32" i="5" s="1"/>
  <c r="AP17" i="5"/>
  <c r="AK32" i="5"/>
  <c r="AR17" i="5" l="1"/>
  <c r="AP32" i="5"/>
  <c r="AT17" i="5" l="1"/>
  <c r="AT32" i="5" s="1"/>
  <c r="AR32" i="5"/>
</calcChain>
</file>

<file path=xl/sharedStrings.xml><?xml version="1.0" encoding="utf-8"?>
<sst xmlns="http://schemas.openxmlformats.org/spreadsheetml/2006/main" count="76" uniqueCount="75">
  <si>
    <t>ЖКХ</t>
  </si>
  <si>
    <t>Градостроительство</t>
  </si>
  <si>
    <t>оформление документов под водопровод</t>
  </si>
  <si>
    <t>человек</t>
  </si>
  <si>
    <t>на 1 чел</t>
  </si>
  <si>
    <t>протяж водопров</t>
  </si>
  <si>
    <t>на 1 м водопров</t>
  </si>
  <si>
    <t>1. Беляевское с.п.</t>
  </si>
  <si>
    <t>изм в генпланы</t>
  </si>
  <si>
    <t>гсм по зем конт</t>
  </si>
  <si>
    <t>кадастр паспорта</t>
  </si>
  <si>
    <t>оценка земли</t>
  </si>
  <si>
    <t>программн обеспеч</t>
  </si>
  <si>
    <t>ИТОГО</t>
  </si>
  <si>
    <t>исходя из числ</t>
  </si>
  <si>
    <t>исходя из протяж</t>
  </si>
  <si>
    <t>уд вес по численности</t>
  </si>
  <si>
    <t>ТО газопровода</t>
  </si>
  <si>
    <t>налог на имущ газопров</t>
  </si>
  <si>
    <t>итого газопров</t>
  </si>
  <si>
    <t>уменьш сп</t>
  </si>
  <si>
    <t>остаток</t>
  </si>
  <si>
    <t>зплата, раб место 5 работн</t>
  </si>
  <si>
    <t>ТО газопров + 10%</t>
  </si>
  <si>
    <t>на скважину</t>
  </si>
  <si>
    <t>по 5 сп</t>
  </si>
  <si>
    <t>за 3 квартала экономим 2238 на ТО газа</t>
  </si>
  <si>
    <t>итого уменьшение сп</t>
  </si>
  <si>
    <t>Отдаем (90%)</t>
  </si>
  <si>
    <t xml:space="preserve">Отдаем 90% </t>
  </si>
  <si>
    <t>с/п</t>
  </si>
  <si>
    <t>район</t>
  </si>
  <si>
    <t>скважины и водозаборы</t>
  </si>
  <si>
    <t>Удельн вес потерь</t>
  </si>
  <si>
    <t>18515-2542,8-4103-3978-3509-526=3856,2</t>
  </si>
  <si>
    <t>Распред по уд весу потерь 3856</t>
  </si>
  <si>
    <t>Распред 3856+526-526</t>
  </si>
  <si>
    <t>Распред 3856+526-526 (только по 13 сп)</t>
  </si>
  <si>
    <t>Удельн вес по 13 сп</t>
  </si>
  <si>
    <t>Распред 3856 по 13 сп</t>
  </si>
  <si>
    <t>Потери-водоснабж</t>
  </si>
  <si>
    <t>Уд вес потери-водоснабж</t>
  </si>
  <si>
    <t>Распред 3856 по уд весу потерь-водоснабж</t>
  </si>
  <si>
    <t>Распред 3856+526-526 по уд весу потерь-водосн</t>
  </si>
  <si>
    <t>1 квартал газификация</t>
  </si>
  <si>
    <t>Недополучат сп</t>
  </si>
  <si>
    <t>Остаток от ТО газа</t>
  </si>
  <si>
    <t>Нам фактически остается 2195</t>
  </si>
  <si>
    <t>Сумма</t>
  </si>
  <si>
    <t>Наименование сельского поселения</t>
  </si>
  <si>
    <t>тыс.руб.</t>
  </si>
  <si>
    <t>2. Валуевское с.п.</t>
  </si>
  <si>
    <t>3. Верхневодянское с.п.</t>
  </si>
  <si>
    <t>4. Гмелинское с.п.</t>
  </si>
  <si>
    <t>5. Иловатское с.п.</t>
  </si>
  <si>
    <t>6. Кановское с.п.</t>
  </si>
  <si>
    <t>7. Колышкинское с.п.</t>
  </si>
  <si>
    <t>8. Красноярское с.п.</t>
  </si>
  <si>
    <t>9. Курнаевское с.п.</t>
  </si>
  <si>
    <t>10. Лятошинское с.п.</t>
  </si>
  <si>
    <t>11. Новоквасниковское с.п.</t>
  </si>
  <si>
    <t>12. Новополтавское с.п.</t>
  </si>
  <si>
    <t>13. Новотихоновское с.п.</t>
  </si>
  <si>
    <t>14. Салтовское с.п.</t>
  </si>
  <si>
    <t>к Решению Старополтавской районной Думы</t>
  </si>
  <si>
    <t>за счет средств субсидии из областного бюджета</t>
  </si>
  <si>
    <t>15. Торгунское с.п.</t>
  </si>
  <si>
    <t>16. Харьковское с.п.</t>
  </si>
  <si>
    <t>17. Черебаевское с.п.</t>
  </si>
  <si>
    <t>от ___.12.2023 г.</t>
  </si>
  <si>
    <t>2024г.</t>
  </si>
  <si>
    <t xml:space="preserve">2025г. </t>
  </si>
  <si>
    <t>2026г.</t>
  </si>
  <si>
    <t>Распределение межбюджетных трансфертов бюджетам сельских поселений на мероприятия в сфере дорожной деятельности на 2024-2026 годы</t>
  </si>
  <si>
    <t xml:space="preserve"> Приложение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</si>
</sst>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3" fontId="0" fillId="0" borderId="0" xfId="0" applyNumberFormat="1" applyFill="1"/>
    <xf numFmtId="2" fontId="2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/>
    <xf numFmtId="2" fontId="6" fillId="4" borderId="1" xfId="0" applyNumberFormat="1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6" fillId="5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2" fontId="7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4" fontId="13" fillId="0" borderId="8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13" fillId="0" borderId="9" xfId="0" applyNumberFormat="1" applyFont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/>
    <xf numFmtId="0" fontId="14" fillId="0" borderId="11" xfId="0" applyFont="1" applyBorder="1" applyAlignment="1"/>
    <xf numFmtId="0" fontId="12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tabSelected="1" view="pageBreakPreview" zoomScaleNormal="100" zoomScaleSheetLayoutView="100" workbookViewId="0">
      <selection activeCell="AZ17" sqref="AZ17"/>
    </sheetView>
  </sheetViews>
  <sheetFormatPr defaultRowHeight="12.75" x14ac:dyDescent="0.2"/>
  <cols>
    <col min="1" max="1" width="34" customWidth="1"/>
    <col min="2" max="2" width="8.140625" hidden="1" customWidth="1"/>
    <col min="3" max="3" width="8.28515625" hidden="1" customWidth="1"/>
    <col min="4" max="4" width="7.5703125" hidden="1" customWidth="1"/>
    <col min="5" max="5" width="7.28515625" hidden="1" customWidth="1"/>
    <col min="6" max="6" width="8.140625" hidden="1" customWidth="1"/>
    <col min="7" max="7" width="6.140625" hidden="1" customWidth="1"/>
    <col min="8" max="8" width="7" hidden="1" customWidth="1"/>
    <col min="9" max="12" width="6.140625" hidden="1" customWidth="1"/>
    <col min="13" max="14" width="10.140625" hidden="1" customWidth="1"/>
    <col min="15" max="15" width="8.5703125" hidden="1" customWidth="1"/>
    <col min="16" max="16" width="20.5703125" hidden="1" customWidth="1"/>
    <col min="17" max="17" width="6.85546875" hidden="1" customWidth="1"/>
    <col min="18" max="19" width="7.42578125" hidden="1" customWidth="1"/>
    <col min="20" max="20" width="7.7109375" hidden="1" customWidth="1"/>
    <col min="21" max="21" width="7" hidden="1" customWidth="1"/>
    <col min="22" max="22" width="8.42578125" hidden="1" customWidth="1"/>
    <col min="23" max="23" width="7.5703125" hidden="1" customWidth="1"/>
    <col min="24" max="24" width="8.28515625" hidden="1" customWidth="1"/>
    <col min="25" max="25" width="8" hidden="1" customWidth="1"/>
    <col min="26" max="26" width="11.140625" hidden="1" customWidth="1"/>
    <col min="27" max="42" width="0" hidden="1" customWidth="1"/>
    <col min="43" max="43" width="8.28515625" hidden="1" customWidth="1"/>
    <col min="44" max="46" width="0" hidden="1" customWidth="1"/>
    <col min="47" max="47" width="15" customWidth="1"/>
    <col min="48" max="48" width="12.85546875" hidden="1" customWidth="1"/>
    <col min="49" max="49" width="13.7109375" hidden="1" customWidth="1"/>
    <col min="50" max="50" width="18.85546875" hidden="1" customWidth="1"/>
    <col min="51" max="51" width="9.42578125" hidden="1" customWidth="1"/>
    <col min="52" max="52" width="11.42578125" customWidth="1"/>
    <col min="53" max="53" width="11.28515625" customWidth="1"/>
  </cols>
  <sheetData>
    <row r="1" spans="1:53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6" t="s">
        <v>74</v>
      </c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7"/>
      <c r="AZ1" s="77"/>
      <c r="BA1" s="77"/>
    </row>
    <row r="2" spans="1:53" ht="15.75" x14ac:dyDescent="0.25">
      <c r="A2" s="78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</row>
    <row r="3" spans="1:53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8" t="s">
        <v>69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7"/>
      <c r="AZ3" s="77"/>
      <c r="BA3" s="77"/>
    </row>
    <row r="4" spans="1:53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3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3" ht="15.75" x14ac:dyDescent="0.25">
      <c r="A6" s="6"/>
      <c r="B6" s="6"/>
      <c r="C6" s="6"/>
      <c r="D6" s="6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3" ht="15.7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1"/>
      <c r="N7" s="81"/>
      <c r="O7" s="81"/>
      <c r="P7" s="81"/>
      <c r="Q7" s="81"/>
      <c r="R7" s="81"/>
      <c r="S7" s="8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3" ht="12.75" customHeight="1" x14ac:dyDescent="0.2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77"/>
      <c r="AY8" s="77"/>
      <c r="AZ8" s="77"/>
      <c r="BA8" s="77"/>
    </row>
    <row r="9" spans="1:53" ht="12.75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77"/>
      <c r="AY9" s="77"/>
      <c r="AZ9" s="77"/>
      <c r="BA9" s="77"/>
    </row>
    <row r="10" spans="1:53" ht="27" customHeight="1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77"/>
      <c r="AY10" s="77"/>
      <c r="AZ10" s="77"/>
      <c r="BA10" s="77"/>
    </row>
    <row r="11" spans="1:53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91" t="s">
        <v>50</v>
      </c>
      <c r="AV11" s="91"/>
      <c r="AW11" s="91"/>
      <c r="AX11" s="6"/>
    </row>
    <row r="12" spans="1:53" ht="51" hidden="1" customHeight="1" x14ac:dyDescent="0.2">
      <c r="A12" s="8"/>
      <c r="B12" s="8" t="s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  <c r="N12" s="13"/>
      <c r="O12" s="13"/>
      <c r="P12" s="13"/>
      <c r="Q12" s="13"/>
      <c r="R12" s="71" t="s">
        <v>1</v>
      </c>
      <c r="S12" s="71"/>
      <c r="T12" s="71"/>
      <c r="U12" s="71"/>
      <c r="V12" s="71"/>
      <c r="W12" s="71"/>
      <c r="X12" s="71"/>
      <c r="Y12" s="71" t="s">
        <v>2</v>
      </c>
      <c r="Z12" s="74" t="s">
        <v>27</v>
      </c>
      <c r="AA12" s="71" t="s">
        <v>20</v>
      </c>
      <c r="AB12" s="71" t="s">
        <v>21</v>
      </c>
      <c r="AC12" s="71" t="s">
        <v>28</v>
      </c>
      <c r="AD12" s="71" t="s">
        <v>29</v>
      </c>
      <c r="AE12" s="71" t="s">
        <v>33</v>
      </c>
      <c r="AF12" s="71" t="s">
        <v>38</v>
      </c>
      <c r="AG12" s="71" t="s">
        <v>35</v>
      </c>
      <c r="AH12" s="9"/>
      <c r="AI12" s="86" t="s">
        <v>39</v>
      </c>
      <c r="AJ12" s="75" t="s">
        <v>40</v>
      </c>
      <c r="AK12" s="75" t="s">
        <v>41</v>
      </c>
      <c r="AL12" s="86" t="s">
        <v>42</v>
      </c>
      <c r="AM12" s="67" t="s">
        <v>36</v>
      </c>
      <c r="AN12" s="67" t="s">
        <v>37</v>
      </c>
      <c r="AO12" s="8"/>
      <c r="AP12" s="67" t="s">
        <v>43</v>
      </c>
      <c r="AQ12" s="66" t="s">
        <v>44</v>
      </c>
      <c r="AR12" s="66" t="s">
        <v>45</v>
      </c>
      <c r="AS12" s="66" t="s">
        <v>46</v>
      </c>
      <c r="AT12" s="87" t="s">
        <v>45</v>
      </c>
      <c r="AU12" s="59"/>
      <c r="AV12" s="59"/>
      <c r="AW12" s="60"/>
    </row>
    <row r="13" spans="1:53" ht="26.25" customHeight="1" x14ac:dyDescent="0.2">
      <c r="A13" s="79" t="s">
        <v>49</v>
      </c>
      <c r="B13" s="10" t="s">
        <v>3</v>
      </c>
      <c r="C13" s="10" t="s">
        <v>16</v>
      </c>
      <c r="D13" s="10" t="s">
        <v>4</v>
      </c>
      <c r="E13" s="11" t="s">
        <v>14</v>
      </c>
      <c r="F13" s="10" t="s">
        <v>5</v>
      </c>
      <c r="G13" s="10" t="s">
        <v>6</v>
      </c>
      <c r="H13" s="11" t="s">
        <v>15</v>
      </c>
      <c r="I13" s="10"/>
      <c r="J13" s="11"/>
      <c r="K13" s="10" t="s">
        <v>32</v>
      </c>
      <c r="L13" s="11" t="s">
        <v>24</v>
      </c>
      <c r="M13" s="12" t="s">
        <v>17</v>
      </c>
      <c r="N13" s="12" t="s">
        <v>23</v>
      </c>
      <c r="O13" s="12" t="s">
        <v>18</v>
      </c>
      <c r="P13" s="12" t="s">
        <v>48</v>
      </c>
      <c r="Q13" s="13" t="s">
        <v>19</v>
      </c>
      <c r="R13" s="13" t="s">
        <v>8</v>
      </c>
      <c r="S13" s="13" t="s">
        <v>22</v>
      </c>
      <c r="T13" s="13" t="s">
        <v>9</v>
      </c>
      <c r="U13" s="13" t="s">
        <v>10</v>
      </c>
      <c r="V13" s="13" t="s">
        <v>11</v>
      </c>
      <c r="W13" s="13" t="s">
        <v>12</v>
      </c>
      <c r="X13" s="13"/>
      <c r="Y13" s="71"/>
      <c r="Z13" s="74"/>
      <c r="AA13" s="71"/>
      <c r="AB13" s="71"/>
      <c r="AC13" s="71"/>
      <c r="AD13" s="71"/>
      <c r="AE13" s="71"/>
      <c r="AF13" s="71"/>
      <c r="AG13" s="71"/>
      <c r="AH13" s="9"/>
      <c r="AI13" s="86"/>
      <c r="AJ13" s="75"/>
      <c r="AK13" s="75"/>
      <c r="AL13" s="86"/>
      <c r="AM13" s="67"/>
      <c r="AN13" s="67"/>
      <c r="AO13" s="8"/>
      <c r="AP13" s="67"/>
      <c r="AQ13" s="66"/>
      <c r="AR13" s="66"/>
      <c r="AS13" s="66"/>
      <c r="AT13" s="87"/>
      <c r="AU13" s="88" t="s">
        <v>70</v>
      </c>
      <c r="AV13" s="89"/>
      <c r="AW13" s="89"/>
      <c r="AX13" s="90"/>
      <c r="AY13" s="64"/>
      <c r="AZ13" s="65" t="s">
        <v>71</v>
      </c>
      <c r="BA13" s="65" t="s">
        <v>72</v>
      </c>
    </row>
    <row r="14" spans="1:53" ht="36" customHeight="1" x14ac:dyDescent="0.2">
      <c r="A14" s="80"/>
      <c r="B14" s="53"/>
      <c r="C14" s="53"/>
      <c r="D14" s="53"/>
      <c r="E14" s="11"/>
      <c r="F14" s="53"/>
      <c r="G14" s="53"/>
      <c r="H14" s="11"/>
      <c r="I14" s="53"/>
      <c r="J14" s="11"/>
      <c r="K14" s="53"/>
      <c r="L14" s="11"/>
      <c r="M14" s="51"/>
      <c r="N14" s="51"/>
      <c r="O14" s="51"/>
      <c r="P14" s="51"/>
      <c r="Q14" s="13"/>
      <c r="R14" s="13"/>
      <c r="S14" s="13"/>
      <c r="T14" s="13"/>
      <c r="U14" s="13"/>
      <c r="V14" s="13"/>
      <c r="W14" s="13"/>
      <c r="X14" s="13"/>
      <c r="Y14" s="51"/>
      <c r="Z14" s="54"/>
      <c r="AA14" s="51"/>
      <c r="AB14" s="51"/>
      <c r="AC14" s="51"/>
      <c r="AD14" s="51"/>
      <c r="AE14" s="51"/>
      <c r="AF14" s="51"/>
      <c r="AG14" s="51"/>
      <c r="AH14" s="9"/>
      <c r="AI14" s="52"/>
      <c r="AJ14" s="55"/>
      <c r="AK14" s="55"/>
      <c r="AL14" s="52"/>
      <c r="AM14" s="56"/>
      <c r="AN14" s="56"/>
      <c r="AO14" s="8"/>
      <c r="AP14" s="56"/>
      <c r="AQ14" s="53"/>
      <c r="AR14" s="53"/>
      <c r="AS14" s="53"/>
      <c r="AT14" s="57"/>
      <c r="AU14" s="82" t="s">
        <v>65</v>
      </c>
      <c r="AV14" s="83"/>
      <c r="AW14" s="83"/>
      <c r="AX14" s="83"/>
      <c r="AY14" s="83"/>
      <c r="AZ14" s="83"/>
      <c r="BA14" s="84"/>
    </row>
    <row r="15" spans="1:53" ht="16.5" x14ac:dyDescent="0.25">
      <c r="A15" s="41" t="s">
        <v>7</v>
      </c>
      <c r="B15" s="42">
        <v>387</v>
      </c>
      <c r="C15" s="43">
        <f t="shared" ref="C15:C31" si="0">B15/19114</f>
        <v>2.0246939416134771E-2</v>
      </c>
      <c r="D15" s="14">
        <v>0.25</v>
      </c>
      <c r="E15" s="15">
        <f t="shared" ref="E15:E31" si="1">B15*D15</f>
        <v>96.75</v>
      </c>
      <c r="F15" s="14">
        <v>5452</v>
      </c>
      <c r="G15" s="14">
        <v>5.0000000000000001E-3</v>
      </c>
      <c r="H15" s="15">
        <f t="shared" ref="H15:H31" si="2">F15*G15</f>
        <v>27.26</v>
      </c>
      <c r="I15" s="14"/>
      <c r="J15" s="15"/>
      <c r="K15" s="14">
        <v>2</v>
      </c>
      <c r="L15" s="15">
        <f t="shared" ref="L15:L31" si="3">K15*10</f>
        <v>20</v>
      </c>
      <c r="M15" s="16">
        <v>91.4</v>
      </c>
      <c r="N15" s="16">
        <f t="shared" ref="N15:N31" si="4">M15*1.1</f>
        <v>100.54000000000002</v>
      </c>
      <c r="O15" s="16">
        <v>50</v>
      </c>
      <c r="P15" s="16">
        <v>144.02000000000001</v>
      </c>
      <c r="Q15" s="17">
        <f t="shared" ref="Q15:Q31" si="5">N15+O15</f>
        <v>150.54000000000002</v>
      </c>
      <c r="R15" s="18">
        <v>50</v>
      </c>
      <c r="S15" s="18">
        <f t="shared" ref="S15:S31" si="6">1885*C15</f>
        <v>38.165480799414041</v>
      </c>
      <c r="T15" s="19">
        <f t="shared" ref="T15:T31" si="7">100*C15</f>
        <v>2.024693941613477</v>
      </c>
      <c r="U15" s="20">
        <f t="shared" ref="U15:U31" si="8">324*C15</f>
        <v>6.5600083708276662</v>
      </c>
      <c r="V15" s="20">
        <f t="shared" ref="V15:V31" si="9">300*C15</f>
        <v>6.0740818248404311</v>
      </c>
      <c r="W15" s="20">
        <f t="shared" ref="W15:W31" si="10">150*C15</f>
        <v>3.0370409124202156</v>
      </c>
      <c r="X15" s="21">
        <f t="shared" ref="X15:X31" si="11">R15+S15+T15+U15+V15</f>
        <v>102.82426493669561</v>
      </c>
      <c r="Y15" s="22">
        <v>10</v>
      </c>
      <c r="Z15" s="21">
        <f t="shared" ref="Z15:Z31" si="12">P15+X15+Y15+Q15</f>
        <v>407.38426493669562</v>
      </c>
      <c r="AA15" s="23">
        <v>619</v>
      </c>
      <c r="AB15" s="24">
        <f t="shared" ref="AB15:AB31" si="13">AA15-Z15</f>
        <v>211.61573506330438</v>
      </c>
      <c r="AC15" s="25">
        <f>AB15*0.9</f>
        <v>190.45416155697396</v>
      </c>
      <c r="AD15" s="24">
        <f t="shared" ref="AD15:AD31" si="14">3316*C15</f>
        <v>67.138851103902894</v>
      </c>
      <c r="AE15" s="26">
        <f t="shared" ref="AE15:AE31" si="15">AA15/18121</f>
        <v>3.415926273384471E-2</v>
      </c>
      <c r="AF15" s="26">
        <f>AA15/11559</f>
        <v>5.3551345272082357E-2</v>
      </c>
      <c r="AG15" s="26">
        <f t="shared" ref="AG15:AG31" si="16">3856*AE15</f>
        <v>131.71811710170519</v>
      </c>
      <c r="AH15" s="27">
        <f t="shared" ref="AH15:AH31" si="17">AG15-AD15</f>
        <v>64.579265997802295</v>
      </c>
      <c r="AI15" s="27">
        <f>3856*AF15</f>
        <v>206.49398736914958</v>
      </c>
      <c r="AJ15" s="28">
        <f t="shared" ref="AJ15:AJ31" si="18">AA15-P15</f>
        <v>474.98</v>
      </c>
      <c r="AK15" s="28">
        <f>AJ15/11600</f>
        <v>4.0946551724137935E-2</v>
      </c>
      <c r="AL15" s="27">
        <f>3856*AK15</f>
        <v>157.88990344827587</v>
      </c>
      <c r="AM15" s="29">
        <f>4382*AE15-Y15</f>
        <v>139.68588929970753</v>
      </c>
      <c r="AN15" s="30">
        <f>4282*AF15-Y15</f>
        <v>219.30686045505666</v>
      </c>
      <c r="AO15" s="31"/>
      <c r="AP15" s="30">
        <f>4382*AK15-Y15</f>
        <v>169.42778965517243</v>
      </c>
      <c r="AQ15" s="32">
        <f>Q15/4</f>
        <v>37.635000000000005</v>
      </c>
      <c r="AR15" s="33">
        <f t="shared" ref="AR15:AR31" si="19">AA15-P15-AP15-AQ15</f>
        <v>267.91721034482759</v>
      </c>
      <c r="AS15" s="32">
        <f>3077*AK15</f>
        <v>125.99253965517242</v>
      </c>
      <c r="AT15" s="33">
        <f>AR15-AS15</f>
        <v>141.92467068965516</v>
      </c>
      <c r="AU15" s="62">
        <f>AY15/1000</f>
        <v>39.5</v>
      </c>
      <c r="AV15" s="50"/>
      <c r="AW15" s="50"/>
      <c r="AX15" s="61">
        <v>960500</v>
      </c>
      <c r="AY15" s="63">
        <v>39500</v>
      </c>
      <c r="AZ15" s="62">
        <f>AY15/1000</f>
        <v>39.5</v>
      </c>
      <c r="BA15" s="35">
        <f>AY15/1000</f>
        <v>39.5</v>
      </c>
    </row>
    <row r="16" spans="1:53" ht="16.5" x14ac:dyDescent="0.25">
      <c r="A16" s="41" t="s">
        <v>51</v>
      </c>
      <c r="B16" s="42"/>
      <c r="C16" s="43"/>
      <c r="D16" s="14"/>
      <c r="E16" s="15"/>
      <c r="F16" s="14"/>
      <c r="G16" s="14"/>
      <c r="H16" s="15"/>
      <c r="I16" s="14"/>
      <c r="J16" s="15"/>
      <c r="K16" s="14"/>
      <c r="L16" s="15"/>
      <c r="M16" s="16"/>
      <c r="N16" s="16"/>
      <c r="O16" s="16"/>
      <c r="P16" s="16"/>
      <c r="Q16" s="17"/>
      <c r="R16" s="18"/>
      <c r="S16" s="18"/>
      <c r="T16" s="19"/>
      <c r="U16" s="20"/>
      <c r="V16" s="20"/>
      <c r="W16" s="20"/>
      <c r="X16" s="21"/>
      <c r="Y16" s="22"/>
      <c r="Z16" s="21"/>
      <c r="AA16" s="23"/>
      <c r="AB16" s="24"/>
      <c r="AC16" s="25"/>
      <c r="AD16" s="24"/>
      <c r="AE16" s="26"/>
      <c r="AF16" s="26"/>
      <c r="AG16" s="26"/>
      <c r="AH16" s="27"/>
      <c r="AI16" s="27"/>
      <c r="AJ16" s="28"/>
      <c r="AK16" s="28"/>
      <c r="AL16" s="27"/>
      <c r="AM16" s="29"/>
      <c r="AN16" s="30"/>
      <c r="AO16" s="31"/>
      <c r="AP16" s="30"/>
      <c r="AQ16" s="32"/>
      <c r="AR16" s="33"/>
      <c r="AS16" s="32"/>
      <c r="AT16" s="33"/>
      <c r="AU16" s="62">
        <f t="shared" ref="AU16:AU31" si="20">AY16/1000</f>
        <v>202.3</v>
      </c>
      <c r="AV16" s="50"/>
      <c r="AW16" s="50"/>
      <c r="AX16" s="61">
        <v>907700</v>
      </c>
      <c r="AY16" s="63">
        <v>202300</v>
      </c>
      <c r="AZ16" s="62">
        <f t="shared" ref="AZ16:AZ31" si="21">AY16/1000</f>
        <v>202.3</v>
      </c>
      <c r="BA16" s="35">
        <f t="shared" ref="BA16:BA31" si="22">AY16/1000</f>
        <v>202.3</v>
      </c>
    </row>
    <row r="17" spans="1:53" ht="16.5" x14ac:dyDescent="0.25">
      <c r="A17" s="41" t="s">
        <v>52</v>
      </c>
      <c r="B17" s="42">
        <v>645</v>
      </c>
      <c r="C17" s="43">
        <f t="shared" si="0"/>
        <v>3.3744899026891283E-2</v>
      </c>
      <c r="D17" s="14">
        <v>0.25</v>
      </c>
      <c r="E17" s="15">
        <f t="shared" si="1"/>
        <v>161.25</v>
      </c>
      <c r="F17" s="14"/>
      <c r="G17" s="14">
        <v>5.0000000000000001E-3</v>
      </c>
      <c r="H17" s="15">
        <f t="shared" si="2"/>
        <v>0</v>
      </c>
      <c r="I17" s="14"/>
      <c r="J17" s="15"/>
      <c r="K17" s="14">
        <v>3</v>
      </c>
      <c r="L17" s="15">
        <f t="shared" si="3"/>
        <v>30</v>
      </c>
      <c r="M17" s="16">
        <v>61.9</v>
      </c>
      <c r="N17" s="16">
        <f t="shared" si="4"/>
        <v>68.09</v>
      </c>
      <c r="O17" s="16">
        <v>18</v>
      </c>
      <c r="P17" s="16">
        <f t="shared" ref="P17:P31" si="23">E17+H17+J17+L17</f>
        <v>191.25</v>
      </c>
      <c r="Q17" s="17">
        <f t="shared" si="5"/>
        <v>86.09</v>
      </c>
      <c r="R17" s="18">
        <v>50</v>
      </c>
      <c r="S17" s="18">
        <f t="shared" si="6"/>
        <v>63.609134665690071</v>
      </c>
      <c r="T17" s="19">
        <f t="shared" si="7"/>
        <v>3.3744899026891284</v>
      </c>
      <c r="U17" s="20">
        <f t="shared" si="8"/>
        <v>10.933347284712776</v>
      </c>
      <c r="V17" s="20">
        <f t="shared" si="9"/>
        <v>10.123469708067384</v>
      </c>
      <c r="W17" s="20">
        <f t="shared" si="10"/>
        <v>5.0617348540336922</v>
      </c>
      <c r="X17" s="21">
        <f t="shared" si="11"/>
        <v>138.04044156115938</v>
      </c>
      <c r="Y17" s="22">
        <v>15</v>
      </c>
      <c r="Z17" s="21">
        <f t="shared" si="12"/>
        <v>430.38044156115939</v>
      </c>
      <c r="AA17" s="23">
        <v>784</v>
      </c>
      <c r="AB17" s="24">
        <f t="shared" si="13"/>
        <v>353.61955843884061</v>
      </c>
      <c r="AC17" s="25">
        <f>AB17*0.9</f>
        <v>318.25760259495655</v>
      </c>
      <c r="AD17" s="24">
        <f t="shared" si="14"/>
        <v>111.89808517317149</v>
      </c>
      <c r="AE17" s="26">
        <f t="shared" si="15"/>
        <v>4.3264720490039182E-2</v>
      </c>
      <c r="AF17" s="26">
        <f t="shared" ref="AF17:AF31" si="24">AA17/11559</f>
        <v>6.7825936499697204E-2</v>
      </c>
      <c r="AG17" s="26">
        <f t="shared" si="16"/>
        <v>166.82876220959108</v>
      </c>
      <c r="AH17" s="27">
        <f t="shared" si="17"/>
        <v>54.930677036419581</v>
      </c>
      <c r="AI17" s="27">
        <f t="shared" ref="AI17:AI31" si="25">3856*AF17</f>
        <v>261.53681114283239</v>
      </c>
      <c r="AJ17" s="28">
        <f t="shared" si="18"/>
        <v>592.75</v>
      </c>
      <c r="AK17" s="28">
        <f t="shared" ref="AK17:AK31" si="26">AJ17/11600</f>
        <v>5.1099137931034481E-2</v>
      </c>
      <c r="AL17" s="27">
        <f t="shared" ref="AL17:AL31" si="27">3856*AK17</f>
        <v>197.03827586206896</v>
      </c>
      <c r="AM17" s="29">
        <f t="shared" ref="AM17:AM31" si="28">4382*AE17-Y17</f>
        <v>174.5860051873517</v>
      </c>
      <c r="AN17" s="30">
        <f t="shared" ref="AN17:AN31" si="29">4282*AF17-Y17</f>
        <v>275.43066009170343</v>
      </c>
      <c r="AO17" s="31"/>
      <c r="AP17" s="30">
        <f t="shared" ref="AP17:AP31" si="30">4382*AK17-Y17</f>
        <v>208.9164224137931</v>
      </c>
      <c r="AQ17" s="32">
        <f t="shared" ref="AQ17:AQ31" si="31">Q17/4</f>
        <v>21.522500000000001</v>
      </c>
      <c r="AR17" s="33">
        <f t="shared" si="19"/>
        <v>362.31107758620692</v>
      </c>
      <c r="AS17" s="32">
        <f t="shared" ref="AS17:AS31" si="32">3077*AK17</f>
        <v>157.23204741379311</v>
      </c>
      <c r="AT17" s="33">
        <f t="shared" ref="AT17:AT31" si="33">AR17-AS17</f>
        <v>205.07903017241381</v>
      </c>
      <c r="AU17" s="62">
        <f t="shared" si="20"/>
        <v>148.9</v>
      </c>
      <c r="AV17" s="50"/>
      <c r="AW17" s="50"/>
      <c r="AX17" s="61">
        <v>1689100</v>
      </c>
      <c r="AY17" s="63">
        <v>148900</v>
      </c>
      <c r="AZ17" s="62">
        <f t="shared" si="21"/>
        <v>148.9</v>
      </c>
      <c r="BA17" s="35">
        <f t="shared" si="22"/>
        <v>148.9</v>
      </c>
    </row>
    <row r="18" spans="1:53" ht="16.5" x14ac:dyDescent="0.25">
      <c r="A18" s="41" t="s">
        <v>53</v>
      </c>
      <c r="B18" s="42">
        <v>2617</v>
      </c>
      <c r="C18" s="43">
        <f t="shared" si="0"/>
        <v>0.13691535000523178</v>
      </c>
      <c r="D18" s="14">
        <v>0.25</v>
      </c>
      <c r="E18" s="15">
        <f t="shared" si="1"/>
        <v>654.25</v>
      </c>
      <c r="F18" s="14">
        <v>38344.199999999997</v>
      </c>
      <c r="G18" s="14">
        <v>5.0000000000000001E-3</v>
      </c>
      <c r="H18" s="15">
        <f t="shared" si="2"/>
        <v>191.721</v>
      </c>
      <c r="I18" s="14"/>
      <c r="J18" s="15"/>
      <c r="K18" s="14">
        <v>13</v>
      </c>
      <c r="L18" s="15">
        <f t="shared" si="3"/>
        <v>130</v>
      </c>
      <c r="M18" s="16">
        <v>307.60000000000002</v>
      </c>
      <c r="N18" s="16">
        <f t="shared" si="4"/>
        <v>338.36000000000007</v>
      </c>
      <c r="O18" s="16">
        <v>70</v>
      </c>
      <c r="P18" s="34">
        <f t="shared" si="23"/>
        <v>975.971</v>
      </c>
      <c r="Q18" s="17">
        <f t="shared" si="5"/>
        <v>408.36000000000007</v>
      </c>
      <c r="R18" s="18">
        <v>50</v>
      </c>
      <c r="S18" s="18">
        <f t="shared" si="6"/>
        <v>258.08543475986193</v>
      </c>
      <c r="T18" s="19">
        <f t="shared" si="7"/>
        <v>13.691535000523178</v>
      </c>
      <c r="U18" s="20">
        <f t="shared" si="8"/>
        <v>44.360573401695099</v>
      </c>
      <c r="V18" s="20">
        <f t="shared" si="9"/>
        <v>41.07460500156953</v>
      </c>
      <c r="W18" s="20">
        <f t="shared" si="10"/>
        <v>20.537302500784765</v>
      </c>
      <c r="X18" s="21">
        <f t="shared" si="11"/>
        <v>407.21214816364972</v>
      </c>
      <c r="Y18" s="22">
        <v>189</v>
      </c>
      <c r="Z18" s="21">
        <f t="shared" si="12"/>
        <v>1980.5431481636499</v>
      </c>
      <c r="AA18" s="23">
        <v>1976</v>
      </c>
      <c r="AB18" s="24">
        <f t="shared" si="13"/>
        <v>-4.5431481636499029</v>
      </c>
      <c r="AC18" s="25"/>
      <c r="AD18" s="24">
        <f t="shared" si="14"/>
        <v>454.01130061734858</v>
      </c>
      <c r="AE18" s="26">
        <f t="shared" si="15"/>
        <v>0.1090447547044865</v>
      </c>
      <c r="AF18" s="26">
        <f t="shared" si="24"/>
        <v>0.17094904403495112</v>
      </c>
      <c r="AG18" s="26">
        <f t="shared" si="16"/>
        <v>420.47657414049996</v>
      </c>
      <c r="AH18" s="27">
        <f t="shared" si="17"/>
        <v>-33.534726476848618</v>
      </c>
      <c r="AI18" s="27">
        <f t="shared" si="25"/>
        <v>659.1795137987715</v>
      </c>
      <c r="AJ18" s="28">
        <f t="shared" si="18"/>
        <v>1000.029</v>
      </c>
      <c r="AK18" s="28">
        <f t="shared" si="26"/>
        <v>8.6209396551724132E-2</v>
      </c>
      <c r="AL18" s="27">
        <f t="shared" si="27"/>
        <v>332.42343310344825</v>
      </c>
      <c r="AM18" s="29">
        <f t="shared" si="28"/>
        <v>288.83411511505989</v>
      </c>
      <c r="AN18" s="30">
        <f t="shared" si="29"/>
        <v>543.00380655766071</v>
      </c>
      <c r="AO18" s="31"/>
      <c r="AP18" s="30">
        <f t="shared" si="30"/>
        <v>188.76957568965514</v>
      </c>
      <c r="AQ18" s="32">
        <f t="shared" si="31"/>
        <v>102.09000000000002</v>
      </c>
      <c r="AR18" s="33">
        <f t="shared" si="19"/>
        <v>709.16942431034488</v>
      </c>
      <c r="AS18" s="32">
        <f t="shared" si="32"/>
        <v>265.26631318965514</v>
      </c>
      <c r="AT18" s="33">
        <f t="shared" si="33"/>
        <v>443.90311112068974</v>
      </c>
      <c r="AU18" s="62">
        <f t="shared" si="20"/>
        <v>803.8</v>
      </c>
      <c r="AV18" s="50"/>
      <c r="AW18" s="50"/>
      <c r="AX18" s="61">
        <v>2610200</v>
      </c>
      <c r="AY18" s="63">
        <v>803800</v>
      </c>
      <c r="AZ18" s="62">
        <f t="shared" si="21"/>
        <v>803.8</v>
      </c>
      <c r="BA18" s="35">
        <f t="shared" si="22"/>
        <v>803.8</v>
      </c>
    </row>
    <row r="19" spans="1:53" ht="16.5" x14ac:dyDescent="0.25">
      <c r="A19" s="41" t="s">
        <v>54</v>
      </c>
      <c r="B19" s="42">
        <v>1465</v>
      </c>
      <c r="C19" s="43">
        <f t="shared" si="0"/>
        <v>7.6645390813016634E-2</v>
      </c>
      <c r="D19" s="14">
        <v>0.25</v>
      </c>
      <c r="E19" s="15">
        <f t="shared" si="1"/>
        <v>366.25</v>
      </c>
      <c r="F19" s="14">
        <v>14004</v>
      </c>
      <c r="G19" s="14">
        <v>5.0000000000000001E-3</v>
      </c>
      <c r="H19" s="15">
        <f t="shared" si="2"/>
        <v>70.02</v>
      </c>
      <c r="I19" s="14"/>
      <c r="J19" s="15"/>
      <c r="K19" s="14">
        <v>13</v>
      </c>
      <c r="L19" s="15">
        <f t="shared" si="3"/>
        <v>130</v>
      </c>
      <c r="M19" s="16">
        <f>234+61.5</f>
        <v>295.5</v>
      </c>
      <c r="N19" s="16">
        <f t="shared" si="4"/>
        <v>325.05</v>
      </c>
      <c r="O19" s="16"/>
      <c r="P19" s="34">
        <f t="shared" si="23"/>
        <v>566.27</v>
      </c>
      <c r="Q19" s="17">
        <f t="shared" si="5"/>
        <v>325.05</v>
      </c>
      <c r="R19" s="18">
        <v>50</v>
      </c>
      <c r="S19" s="18">
        <f t="shared" si="6"/>
        <v>144.47656168253636</v>
      </c>
      <c r="T19" s="19">
        <f t="shared" si="7"/>
        <v>7.6645390813016636</v>
      </c>
      <c r="U19" s="20">
        <f t="shared" si="8"/>
        <v>24.83310662341739</v>
      </c>
      <c r="V19" s="20">
        <f t="shared" si="9"/>
        <v>22.993617243904989</v>
      </c>
      <c r="W19" s="20">
        <f t="shared" si="10"/>
        <v>11.496808621952495</v>
      </c>
      <c r="X19" s="21">
        <f t="shared" si="11"/>
        <v>249.9678246311604</v>
      </c>
      <c r="Y19" s="22">
        <v>65</v>
      </c>
      <c r="Z19" s="21">
        <f t="shared" si="12"/>
        <v>1206.2878246311604</v>
      </c>
      <c r="AA19" s="23">
        <v>1311</v>
      </c>
      <c r="AB19" s="24">
        <f t="shared" si="13"/>
        <v>104.71217536883955</v>
      </c>
      <c r="AC19" s="25">
        <f>AB19*0.9</f>
        <v>94.240957831955598</v>
      </c>
      <c r="AD19" s="24">
        <f t="shared" si="14"/>
        <v>254.15611593596316</v>
      </c>
      <c r="AE19" s="26">
        <f t="shared" si="15"/>
        <v>7.2347000717399704E-2</v>
      </c>
      <c r="AF19" s="26">
        <f t="shared" si="24"/>
        <v>0.11341811575395795</v>
      </c>
      <c r="AG19" s="26">
        <f t="shared" si="16"/>
        <v>278.97003476629328</v>
      </c>
      <c r="AH19" s="27">
        <f t="shared" si="17"/>
        <v>24.813918830330124</v>
      </c>
      <c r="AI19" s="27">
        <f t="shared" si="25"/>
        <v>437.34025434726186</v>
      </c>
      <c r="AJ19" s="28">
        <f t="shared" si="18"/>
        <v>744.73</v>
      </c>
      <c r="AK19" s="28">
        <f t="shared" si="26"/>
        <v>6.4200862068965525E-2</v>
      </c>
      <c r="AL19" s="27">
        <f t="shared" si="27"/>
        <v>247.55852413793107</v>
      </c>
      <c r="AM19" s="29">
        <f t="shared" si="28"/>
        <v>252.0245571436455</v>
      </c>
      <c r="AN19" s="30">
        <f t="shared" si="29"/>
        <v>420.65637165844794</v>
      </c>
      <c r="AO19" s="31"/>
      <c r="AP19" s="30">
        <f t="shared" si="30"/>
        <v>216.32817758620695</v>
      </c>
      <c r="AQ19" s="32">
        <f t="shared" si="31"/>
        <v>81.262500000000003</v>
      </c>
      <c r="AR19" s="33">
        <f t="shared" si="19"/>
        <v>447.13932241379308</v>
      </c>
      <c r="AS19" s="32">
        <f t="shared" si="32"/>
        <v>197.54605258620691</v>
      </c>
      <c r="AT19" s="33">
        <f t="shared" si="33"/>
        <v>249.59326982758617</v>
      </c>
      <c r="AU19" s="62">
        <f t="shared" si="20"/>
        <v>256.7</v>
      </c>
      <c r="AV19" s="50"/>
      <c r="AW19" s="50"/>
      <c r="AX19" s="61">
        <v>2156300</v>
      </c>
      <c r="AY19" s="63">
        <v>256700</v>
      </c>
      <c r="AZ19" s="62">
        <f t="shared" si="21"/>
        <v>256.7</v>
      </c>
      <c r="BA19" s="35">
        <f t="shared" si="22"/>
        <v>256.7</v>
      </c>
    </row>
    <row r="20" spans="1:53" ht="16.5" x14ac:dyDescent="0.25">
      <c r="A20" s="41" t="s">
        <v>55</v>
      </c>
      <c r="B20" s="42"/>
      <c r="C20" s="43"/>
      <c r="D20" s="14"/>
      <c r="E20" s="15"/>
      <c r="F20" s="14"/>
      <c r="G20" s="14"/>
      <c r="H20" s="15"/>
      <c r="I20" s="14"/>
      <c r="J20" s="15"/>
      <c r="K20" s="14"/>
      <c r="L20" s="15"/>
      <c r="M20" s="16"/>
      <c r="N20" s="16"/>
      <c r="O20" s="16"/>
      <c r="P20" s="34"/>
      <c r="Q20" s="17"/>
      <c r="R20" s="18"/>
      <c r="S20" s="18"/>
      <c r="T20" s="19"/>
      <c r="U20" s="20"/>
      <c r="V20" s="20"/>
      <c r="W20" s="20"/>
      <c r="X20" s="21"/>
      <c r="Y20" s="22"/>
      <c r="Z20" s="21"/>
      <c r="AA20" s="23"/>
      <c r="AB20" s="24"/>
      <c r="AC20" s="25"/>
      <c r="AD20" s="24"/>
      <c r="AE20" s="26"/>
      <c r="AF20" s="26"/>
      <c r="AG20" s="26"/>
      <c r="AH20" s="27"/>
      <c r="AI20" s="27"/>
      <c r="AJ20" s="28"/>
      <c r="AK20" s="28"/>
      <c r="AL20" s="27"/>
      <c r="AM20" s="29"/>
      <c r="AN20" s="30"/>
      <c r="AO20" s="31"/>
      <c r="AP20" s="30"/>
      <c r="AQ20" s="32"/>
      <c r="AR20" s="33"/>
      <c r="AS20" s="32"/>
      <c r="AT20" s="33"/>
      <c r="AU20" s="62">
        <f t="shared" si="20"/>
        <v>284.8</v>
      </c>
      <c r="AV20" s="50"/>
      <c r="AW20" s="50"/>
      <c r="AX20" s="61">
        <v>1598200</v>
      </c>
      <c r="AY20" s="63">
        <v>284800</v>
      </c>
      <c r="AZ20" s="62">
        <f t="shared" si="21"/>
        <v>284.8</v>
      </c>
      <c r="BA20" s="35">
        <f t="shared" si="22"/>
        <v>284.8</v>
      </c>
    </row>
    <row r="21" spans="1:53" ht="16.5" x14ac:dyDescent="0.25">
      <c r="A21" s="41" t="s">
        <v>56</v>
      </c>
      <c r="B21" s="42">
        <v>494</v>
      </c>
      <c r="C21" s="43">
        <f t="shared" si="0"/>
        <v>2.584493041749503E-2</v>
      </c>
      <c r="D21" s="14">
        <v>0.25</v>
      </c>
      <c r="E21" s="15">
        <f t="shared" si="1"/>
        <v>123.5</v>
      </c>
      <c r="F21" s="14">
        <v>4833</v>
      </c>
      <c r="G21" s="14">
        <v>5.0000000000000001E-3</v>
      </c>
      <c r="H21" s="15">
        <f t="shared" si="2"/>
        <v>24.164999999999999</v>
      </c>
      <c r="I21" s="14"/>
      <c r="J21" s="15"/>
      <c r="K21" s="14">
        <v>2</v>
      </c>
      <c r="L21" s="15">
        <f t="shared" si="3"/>
        <v>20</v>
      </c>
      <c r="M21" s="16">
        <v>124.2</v>
      </c>
      <c r="N21" s="16">
        <f t="shared" si="4"/>
        <v>136.62</v>
      </c>
      <c r="O21" s="16">
        <v>230</v>
      </c>
      <c r="P21" s="34">
        <f t="shared" si="23"/>
        <v>167.66499999999999</v>
      </c>
      <c r="Q21" s="17">
        <f t="shared" si="5"/>
        <v>366.62</v>
      </c>
      <c r="R21" s="18">
        <v>50</v>
      </c>
      <c r="S21" s="18">
        <f t="shared" si="6"/>
        <v>48.717693836978135</v>
      </c>
      <c r="T21" s="19">
        <f t="shared" si="7"/>
        <v>2.5844930417495031</v>
      </c>
      <c r="U21" s="20">
        <f t="shared" si="8"/>
        <v>8.3737574552683895</v>
      </c>
      <c r="V21" s="20">
        <f t="shared" si="9"/>
        <v>7.7534791252485089</v>
      </c>
      <c r="W21" s="20">
        <f t="shared" si="10"/>
        <v>3.8767395626242545</v>
      </c>
      <c r="X21" s="21">
        <f t="shared" si="11"/>
        <v>117.42942345924452</v>
      </c>
      <c r="Y21" s="22">
        <v>10</v>
      </c>
      <c r="Z21" s="21">
        <f t="shared" si="12"/>
        <v>661.71442345924447</v>
      </c>
      <c r="AA21" s="23">
        <v>646</v>
      </c>
      <c r="AB21" s="24">
        <f t="shared" si="13"/>
        <v>-15.714423459244472</v>
      </c>
      <c r="AC21" s="25"/>
      <c r="AD21" s="24">
        <f t="shared" si="14"/>
        <v>85.70178926441352</v>
      </c>
      <c r="AE21" s="26">
        <f t="shared" si="15"/>
        <v>3.5649246730312896E-2</v>
      </c>
      <c r="AF21" s="26">
        <f t="shared" si="24"/>
        <v>5.588718747296479E-2</v>
      </c>
      <c r="AG21" s="26">
        <f t="shared" si="16"/>
        <v>137.46349539208651</v>
      </c>
      <c r="AH21" s="27">
        <f t="shared" si="17"/>
        <v>51.761706127672994</v>
      </c>
      <c r="AI21" s="27">
        <f t="shared" si="25"/>
        <v>215.50099489575223</v>
      </c>
      <c r="AJ21" s="28">
        <f t="shared" si="18"/>
        <v>478.33500000000004</v>
      </c>
      <c r="AK21" s="28">
        <f t="shared" si="26"/>
        <v>4.1235775862068967E-2</v>
      </c>
      <c r="AL21" s="27">
        <f t="shared" si="27"/>
        <v>159.00515172413793</v>
      </c>
      <c r="AM21" s="29">
        <f t="shared" si="28"/>
        <v>146.2149991722311</v>
      </c>
      <c r="AN21" s="30">
        <f t="shared" si="29"/>
        <v>229.30893675923522</v>
      </c>
      <c r="AO21" s="31"/>
      <c r="AP21" s="30">
        <f t="shared" si="30"/>
        <v>170.69516982758623</v>
      </c>
      <c r="AQ21" s="32">
        <f t="shared" si="31"/>
        <v>91.655000000000001</v>
      </c>
      <c r="AR21" s="33">
        <f t="shared" si="19"/>
        <v>215.98483017241378</v>
      </c>
      <c r="AS21" s="32">
        <f t="shared" si="32"/>
        <v>126.88248232758622</v>
      </c>
      <c r="AT21" s="33">
        <f t="shared" si="33"/>
        <v>89.102347844827563</v>
      </c>
      <c r="AU21" s="62">
        <f t="shared" si="20"/>
        <v>31.3</v>
      </c>
      <c r="AV21" s="50"/>
      <c r="AW21" s="50"/>
      <c r="AX21" s="61">
        <v>1235700</v>
      </c>
      <c r="AY21" s="63">
        <v>31300</v>
      </c>
      <c r="AZ21" s="62">
        <f t="shared" si="21"/>
        <v>31.3</v>
      </c>
      <c r="BA21" s="35">
        <f t="shared" si="22"/>
        <v>31.3</v>
      </c>
    </row>
    <row r="22" spans="1:53" ht="16.5" x14ac:dyDescent="0.25">
      <c r="A22" s="41" t="s">
        <v>57</v>
      </c>
      <c r="B22" s="42">
        <v>641</v>
      </c>
      <c r="C22" s="43">
        <f t="shared" si="0"/>
        <v>3.3535628335251651E-2</v>
      </c>
      <c r="D22" s="14">
        <v>0.25</v>
      </c>
      <c r="E22" s="15">
        <f t="shared" si="1"/>
        <v>160.25</v>
      </c>
      <c r="F22" s="14">
        <v>7204.5</v>
      </c>
      <c r="G22" s="14">
        <v>5.0000000000000001E-3</v>
      </c>
      <c r="H22" s="15">
        <f t="shared" si="2"/>
        <v>36.022500000000001</v>
      </c>
      <c r="I22" s="14"/>
      <c r="J22" s="15"/>
      <c r="K22" s="14">
        <v>8</v>
      </c>
      <c r="L22" s="15">
        <f t="shared" si="3"/>
        <v>80</v>
      </c>
      <c r="M22" s="16">
        <v>212.5</v>
      </c>
      <c r="N22" s="16">
        <f t="shared" si="4"/>
        <v>233.75000000000003</v>
      </c>
      <c r="O22" s="16">
        <v>230</v>
      </c>
      <c r="P22" s="34">
        <f t="shared" si="23"/>
        <v>276.27250000000004</v>
      </c>
      <c r="Q22" s="17">
        <f t="shared" si="5"/>
        <v>463.75</v>
      </c>
      <c r="R22" s="18">
        <v>50</v>
      </c>
      <c r="S22" s="18">
        <f t="shared" si="6"/>
        <v>63.214659411949363</v>
      </c>
      <c r="T22" s="19">
        <f t="shared" si="7"/>
        <v>3.353562833525165</v>
      </c>
      <c r="U22" s="20">
        <f t="shared" si="8"/>
        <v>10.865543580621535</v>
      </c>
      <c r="V22" s="20">
        <f t="shared" si="9"/>
        <v>10.060688500575495</v>
      </c>
      <c r="W22" s="20">
        <f t="shared" si="10"/>
        <v>5.0303442502877473</v>
      </c>
      <c r="X22" s="21">
        <f t="shared" si="11"/>
        <v>137.49445432667153</v>
      </c>
      <c r="Y22" s="22">
        <v>25</v>
      </c>
      <c r="Z22" s="21">
        <f t="shared" si="12"/>
        <v>902.51695432667157</v>
      </c>
      <c r="AA22" s="23">
        <v>783</v>
      </c>
      <c r="AB22" s="24">
        <f t="shared" si="13"/>
        <v>-119.51695432667157</v>
      </c>
      <c r="AC22" s="25"/>
      <c r="AD22" s="24">
        <f t="shared" si="14"/>
        <v>111.20414355969447</v>
      </c>
      <c r="AE22" s="26">
        <f t="shared" si="15"/>
        <v>4.3209535897577395E-2</v>
      </c>
      <c r="AF22" s="26">
        <f t="shared" si="24"/>
        <v>6.773942382559045E-2</v>
      </c>
      <c r="AG22" s="26">
        <f t="shared" si="16"/>
        <v>166.61597042105842</v>
      </c>
      <c r="AH22" s="27">
        <f t="shared" si="17"/>
        <v>55.411826861363949</v>
      </c>
      <c r="AI22" s="27">
        <f t="shared" si="25"/>
        <v>261.20321827147677</v>
      </c>
      <c r="AJ22" s="28">
        <f t="shared" si="18"/>
        <v>506.72749999999996</v>
      </c>
      <c r="AK22" s="28">
        <f t="shared" si="26"/>
        <v>4.3683405172413793E-2</v>
      </c>
      <c r="AL22" s="27">
        <f t="shared" si="27"/>
        <v>168.44321034482758</v>
      </c>
      <c r="AM22" s="29">
        <f t="shared" si="28"/>
        <v>164.34418630318413</v>
      </c>
      <c r="AN22" s="30">
        <f t="shared" si="29"/>
        <v>265.06021282117831</v>
      </c>
      <c r="AO22" s="31"/>
      <c r="AP22" s="30">
        <f t="shared" si="30"/>
        <v>166.42068146551725</v>
      </c>
      <c r="AQ22" s="32">
        <f t="shared" si="31"/>
        <v>115.9375</v>
      </c>
      <c r="AR22" s="33">
        <f t="shared" si="19"/>
        <v>224.36931853448272</v>
      </c>
      <c r="AS22" s="32">
        <f t="shared" si="32"/>
        <v>134.41383771551725</v>
      </c>
      <c r="AT22" s="33">
        <f t="shared" si="33"/>
        <v>89.955480818965469</v>
      </c>
      <c r="AU22" s="62">
        <f t="shared" si="20"/>
        <v>93.7</v>
      </c>
      <c r="AV22" s="50"/>
      <c r="AW22" s="50"/>
      <c r="AX22" s="61">
        <v>1357300</v>
      </c>
      <c r="AY22" s="63">
        <v>93700</v>
      </c>
      <c r="AZ22" s="62">
        <f t="shared" si="21"/>
        <v>93.7</v>
      </c>
      <c r="BA22" s="35">
        <f t="shared" si="22"/>
        <v>93.7</v>
      </c>
    </row>
    <row r="23" spans="1:53" ht="16.5" x14ac:dyDescent="0.25">
      <c r="A23" s="41" t="s">
        <v>58</v>
      </c>
      <c r="B23" s="42">
        <v>625</v>
      </c>
      <c r="C23" s="43">
        <f t="shared" si="0"/>
        <v>3.2698545568693102E-2</v>
      </c>
      <c r="D23" s="14">
        <v>0.25</v>
      </c>
      <c r="E23" s="15">
        <f t="shared" si="1"/>
        <v>156.25</v>
      </c>
      <c r="F23" s="14">
        <v>7340</v>
      </c>
      <c r="G23" s="14">
        <v>5.0000000000000001E-3</v>
      </c>
      <c r="H23" s="15">
        <f t="shared" si="2"/>
        <v>36.700000000000003</v>
      </c>
      <c r="I23" s="14"/>
      <c r="J23" s="15"/>
      <c r="K23" s="14">
        <v>4</v>
      </c>
      <c r="L23" s="15">
        <f t="shared" si="3"/>
        <v>40</v>
      </c>
      <c r="M23" s="16"/>
      <c r="N23" s="16">
        <f t="shared" si="4"/>
        <v>0</v>
      </c>
      <c r="O23" s="16"/>
      <c r="P23" s="34">
        <f t="shared" si="23"/>
        <v>232.95</v>
      </c>
      <c r="Q23" s="17">
        <f t="shared" si="5"/>
        <v>0</v>
      </c>
      <c r="R23" s="18">
        <v>50</v>
      </c>
      <c r="S23" s="18">
        <f t="shared" si="6"/>
        <v>61.636758396986494</v>
      </c>
      <c r="T23" s="19">
        <f t="shared" si="7"/>
        <v>3.2698545568693103</v>
      </c>
      <c r="U23" s="20">
        <f t="shared" si="8"/>
        <v>10.594328764256565</v>
      </c>
      <c r="V23" s="20">
        <f t="shared" si="9"/>
        <v>9.8095636706079308</v>
      </c>
      <c r="W23" s="20">
        <f t="shared" si="10"/>
        <v>4.9047818353039654</v>
      </c>
      <c r="X23" s="21">
        <f t="shared" si="11"/>
        <v>135.31050538872029</v>
      </c>
      <c r="Y23" s="22">
        <v>20</v>
      </c>
      <c r="Z23" s="21">
        <f t="shared" si="12"/>
        <v>388.26050538872028</v>
      </c>
      <c r="AA23" s="23">
        <v>777</v>
      </c>
      <c r="AB23" s="24">
        <f t="shared" si="13"/>
        <v>388.73949461127972</v>
      </c>
      <c r="AC23" s="25">
        <f t="shared" ref="AC23:AC31" si="34">AB23*0.9</f>
        <v>349.86554515015177</v>
      </c>
      <c r="AD23" s="24">
        <f t="shared" si="14"/>
        <v>108.42837710578632</v>
      </c>
      <c r="AE23" s="26">
        <f t="shared" si="15"/>
        <v>4.2878428342806689E-2</v>
      </c>
      <c r="AF23" s="26">
        <f t="shared" si="24"/>
        <v>6.7220347780949916E-2</v>
      </c>
      <c r="AG23" s="26">
        <f t="shared" si="16"/>
        <v>165.3392196898626</v>
      </c>
      <c r="AH23" s="27">
        <f t="shared" si="17"/>
        <v>56.910842584076278</v>
      </c>
      <c r="AI23" s="27">
        <f t="shared" si="25"/>
        <v>259.20166104334288</v>
      </c>
      <c r="AJ23" s="28">
        <f t="shared" si="18"/>
        <v>544.04999999999995</v>
      </c>
      <c r="AK23" s="28">
        <f t="shared" si="26"/>
        <v>4.6900862068965515E-2</v>
      </c>
      <c r="AL23" s="27">
        <f t="shared" si="27"/>
        <v>180.84972413793102</v>
      </c>
      <c r="AM23" s="29">
        <f t="shared" si="28"/>
        <v>167.8932729981789</v>
      </c>
      <c r="AN23" s="30">
        <f t="shared" si="29"/>
        <v>267.83752919802754</v>
      </c>
      <c r="AO23" s="31"/>
      <c r="AP23" s="30">
        <f t="shared" si="30"/>
        <v>185.51957758620688</v>
      </c>
      <c r="AQ23" s="32">
        <f t="shared" si="31"/>
        <v>0</v>
      </c>
      <c r="AR23" s="33">
        <f t="shared" si="19"/>
        <v>358.53042241379308</v>
      </c>
      <c r="AS23" s="32">
        <f t="shared" si="32"/>
        <v>144.31395258620688</v>
      </c>
      <c r="AT23" s="33">
        <f t="shared" si="33"/>
        <v>214.2164698275862</v>
      </c>
      <c r="AU23" s="62">
        <f t="shared" si="20"/>
        <v>86.5</v>
      </c>
      <c r="AV23" s="50"/>
      <c r="AW23" s="50"/>
      <c r="AX23" s="61">
        <v>1440500</v>
      </c>
      <c r="AY23" s="63">
        <v>86500</v>
      </c>
      <c r="AZ23" s="62">
        <f t="shared" si="21"/>
        <v>86.5</v>
      </c>
      <c r="BA23" s="35">
        <f t="shared" si="22"/>
        <v>86.5</v>
      </c>
    </row>
    <row r="24" spans="1:53" ht="16.5" x14ac:dyDescent="0.25">
      <c r="A24" s="41" t="s">
        <v>59</v>
      </c>
      <c r="B24" s="42">
        <v>588</v>
      </c>
      <c r="C24" s="43">
        <f t="shared" si="0"/>
        <v>3.0762791671026472E-2</v>
      </c>
      <c r="D24" s="14">
        <v>0.25</v>
      </c>
      <c r="E24" s="15">
        <f t="shared" si="1"/>
        <v>147</v>
      </c>
      <c r="F24" s="14"/>
      <c r="G24" s="14">
        <v>5.0000000000000001E-3</v>
      </c>
      <c r="H24" s="15">
        <f t="shared" si="2"/>
        <v>0</v>
      </c>
      <c r="I24" s="14"/>
      <c r="J24" s="15"/>
      <c r="K24" s="14">
        <v>1</v>
      </c>
      <c r="L24" s="15">
        <f t="shared" si="3"/>
        <v>10</v>
      </c>
      <c r="M24" s="16">
        <v>81.099999999999994</v>
      </c>
      <c r="N24" s="16">
        <f t="shared" si="4"/>
        <v>89.210000000000008</v>
      </c>
      <c r="O24" s="16">
        <v>25</v>
      </c>
      <c r="P24" s="34">
        <f t="shared" si="23"/>
        <v>157</v>
      </c>
      <c r="Q24" s="17">
        <f t="shared" si="5"/>
        <v>114.21000000000001</v>
      </c>
      <c r="R24" s="18">
        <v>50</v>
      </c>
      <c r="S24" s="18">
        <f t="shared" si="6"/>
        <v>57.987862299884902</v>
      </c>
      <c r="T24" s="19">
        <f t="shared" si="7"/>
        <v>3.0762791671026473</v>
      </c>
      <c r="U24" s="20">
        <f t="shared" si="8"/>
        <v>9.9671445014125766</v>
      </c>
      <c r="V24" s="20">
        <f t="shared" si="9"/>
        <v>9.2288375013079413</v>
      </c>
      <c r="W24" s="20">
        <f t="shared" si="10"/>
        <v>4.6144187506539707</v>
      </c>
      <c r="X24" s="21">
        <f t="shared" si="11"/>
        <v>130.26012346970808</v>
      </c>
      <c r="Y24" s="22">
        <v>13</v>
      </c>
      <c r="Z24" s="21">
        <f t="shared" si="12"/>
        <v>414.47012346970814</v>
      </c>
      <c r="AA24" s="23">
        <v>764</v>
      </c>
      <c r="AB24" s="24">
        <f t="shared" si="13"/>
        <v>349.52987653029186</v>
      </c>
      <c r="AC24" s="25">
        <f t="shared" si="34"/>
        <v>314.57688887726266</v>
      </c>
      <c r="AD24" s="24">
        <f t="shared" si="14"/>
        <v>102.00941718112378</v>
      </c>
      <c r="AE24" s="26">
        <f t="shared" si="15"/>
        <v>4.216102864080349E-2</v>
      </c>
      <c r="AF24" s="26">
        <f t="shared" si="24"/>
        <v>6.6095683017562079E-2</v>
      </c>
      <c r="AG24" s="26">
        <f t="shared" si="16"/>
        <v>162.57292643893825</v>
      </c>
      <c r="AH24" s="27">
        <f t="shared" si="17"/>
        <v>60.563509257814474</v>
      </c>
      <c r="AI24" s="27">
        <f t="shared" si="25"/>
        <v>254.86495371571937</v>
      </c>
      <c r="AJ24" s="28">
        <f t="shared" si="18"/>
        <v>607</v>
      </c>
      <c r="AK24" s="28">
        <f t="shared" si="26"/>
        <v>5.2327586206896551E-2</v>
      </c>
      <c r="AL24" s="27">
        <f t="shared" si="27"/>
        <v>201.77517241379309</v>
      </c>
      <c r="AM24" s="29">
        <f t="shared" si="28"/>
        <v>171.7496275040009</v>
      </c>
      <c r="AN24" s="30">
        <f t="shared" si="29"/>
        <v>270.02171468120082</v>
      </c>
      <c r="AO24" s="31"/>
      <c r="AP24" s="30">
        <f t="shared" si="30"/>
        <v>216.29948275862068</v>
      </c>
      <c r="AQ24" s="32">
        <f t="shared" si="31"/>
        <v>28.552500000000002</v>
      </c>
      <c r="AR24" s="33">
        <f t="shared" si="19"/>
        <v>362.14801724137931</v>
      </c>
      <c r="AS24" s="32">
        <f t="shared" si="32"/>
        <v>161.01198275862069</v>
      </c>
      <c r="AT24" s="33">
        <f t="shared" si="33"/>
        <v>201.13603448275862</v>
      </c>
      <c r="AU24" s="62">
        <f t="shared" si="20"/>
        <v>150.69999999999999</v>
      </c>
      <c r="AV24" s="50"/>
      <c r="AW24" s="50"/>
      <c r="AX24" s="61">
        <v>1471300</v>
      </c>
      <c r="AY24" s="63">
        <v>150700</v>
      </c>
      <c r="AZ24" s="62">
        <f t="shared" si="21"/>
        <v>150.69999999999999</v>
      </c>
      <c r="BA24" s="35">
        <f t="shared" si="22"/>
        <v>150.69999999999999</v>
      </c>
    </row>
    <row r="25" spans="1:53" ht="16.5" x14ac:dyDescent="0.25">
      <c r="A25" s="41" t="s">
        <v>60</v>
      </c>
      <c r="B25" s="42">
        <v>614</v>
      </c>
      <c r="C25" s="43">
        <f t="shared" si="0"/>
        <v>3.2123051166684104E-2</v>
      </c>
      <c r="D25" s="14">
        <v>0.25</v>
      </c>
      <c r="E25" s="15">
        <f t="shared" si="1"/>
        <v>153.5</v>
      </c>
      <c r="F25" s="14">
        <v>2669</v>
      </c>
      <c r="G25" s="14">
        <v>5.0000000000000001E-3</v>
      </c>
      <c r="H25" s="15">
        <f t="shared" si="2"/>
        <v>13.345000000000001</v>
      </c>
      <c r="I25" s="14"/>
      <c r="J25" s="15"/>
      <c r="K25" s="14">
        <v>4</v>
      </c>
      <c r="L25" s="15">
        <f t="shared" si="3"/>
        <v>40</v>
      </c>
      <c r="M25" s="16">
        <v>97.5</v>
      </c>
      <c r="N25" s="16">
        <f t="shared" si="4"/>
        <v>107.25000000000001</v>
      </c>
      <c r="O25" s="16">
        <v>15</v>
      </c>
      <c r="P25" s="34">
        <f t="shared" si="23"/>
        <v>206.845</v>
      </c>
      <c r="Q25" s="17">
        <f t="shared" si="5"/>
        <v>122.25000000000001</v>
      </c>
      <c r="R25" s="18">
        <v>50</v>
      </c>
      <c r="S25" s="18">
        <f t="shared" si="6"/>
        <v>60.551951449199535</v>
      </c>
      <c r="T25" s="19">
        <f t="shared" si="7"/>
        <v>3.2123051166684102</v>
      </c>
      <c r="U25" s="20">
        <f t="shared" si="8"/>
        <v>10.407868578005649</v>
      </c>
      <c r="V25" s="20">
        <f t="shared" si="9"/>
        <v>9.6369153500052303</v>
      </c>
      <c r="W25" s="20">
        <f t="shared" si="10"/>
        <v>4.8184576750026151</v>
      </c>
      <c r="X25" s="21">
        <f t="shared" si="11"/>
        <v>133.80904049387883</v>
      </c>
      <c r="Y25" s="22">
        <v>30</v>
      </c>
      <c r="Z25" s="21">
        <f t="shared" si="12"/>
        <v>492.90404049387882</v>
      </c>
      <c r="AA25" s="23">
        <v>773</v>
      </c>
      <c r="AB25" s="24">
        <f t="shared" si="13"/>
        <v>280.09595950612118</v>
      </c>
      <c r="AC25" s="25">
        <f t="shared" si="34"/>
        <v>252.08636355550905</v>
      </c>
      <c r="AD25" s="24">
        <f t="shared" si="14"/>
        <v>106.52003766872448</v>
      </c>
      <c r="AE25" s="26">
        <f t="shared" si="15"/>
        <v>4.2657689972959552E-2</v>
      </c>
      <c r="AF25" s="26">
        <f t="shared" si="24"/>
        <v>6.6874297084522888E-2</v>
      </c>
      <c r="AG25" s="26">
        <f t="shared" si="16"/>
        <v>164.48805253573204</v>
      </c>
      <c r="AH25" s="27">
        <f t="shared" si="17"/>
        <v>57.968014867007554</v>
      </c>
      <c r="AI25" s="27">
        <f t="shared" si="25"/>
        <v>257.86728955792023</v>
      </c>
      <c r="AJ25" s="28">
        <f t="shared" si="18"/>
        <v>566.15499999999997</v>
      </c>
      <c r="AK25" s="28">
        <f t="shared" si="26"/>
        <v>4.8806465517241375E-2</v>
      </c>
      <c r="AL25" s="27">
        <f t="shared" si="27"/>
        <v>188.19773103448273</v>
      </c>
      <c r="AM25" s="29">
        <f t="shared" si="28"/>
        <v>156.92599746150876</v>
      </c>
      <c r="AN25" s="30">
        <f t="shared" si="29"/>
        <v>256.35574011592701</v>
      </c>
      <c r="AO25" s="31"/>
      <c r="AP25" s="30">
        <f t="shared" si="30"/>
        <v>183.86993189655172</v>
      </c>
      <c r="AQ25" s="32">
        <f t="shared" si="31"/>
        <v>30.562500000000004</v>
      </c>
      <c r="AR25" s="33">
        <f t="shared" si="19"/>
        <v>351.72256810344822</v>
      </c>
      <c r="AS25" s="32">
        <f t="shared" si="32"/>
        <v>150.17749439655171</v>
      </c>
      <c r="AT25" s="33">
        <f t="shared" si="33"/>
        <v>201.54507370689652</v>
      </c>
      <c r="AU25" s="62">
        <f t="shared" si="20"/>
        <v>54.5</v>
      </c>
      <c r="AV25" s="50"/>
      <c r="AW25" s="50"/>
      <c r="AX25" s="61">
        <v>1616000</v>
      </c>
      <c r="AY25" s="63">
        <v>54500</v>
      </c>
      <c r="AZ25" s="62">
        <f t="shared" si="21"/>
        <v>54.5</v>
      </c>
      <c r="BA25" s="35">
        <f t="shared" si="22"/>
        <v>54.5</v>
      </c>
    </row>
    <row r="26" spans="1:53" ht="16.5" x14ac:dyDescent="0.25">
      <c r="A26" s="41" t="s">
        <v>61</v>
      </c>
      <c r="B26" s="42"/>
      <c r="C26" s="43"/>
      <c r="D26" s="14"/>
      <c r="E26" s="15"/>
      <c r="F26" s="14"/>
      <c r="G26" s="14"/>
      <c r="H26" s="15"/>
      <c r="I26" s="14"/>
      <c r="J26" s="15"/>
      <c r="K26" s="14"/>
      <c r="L26" s="15"/>
      <c r="M26" s="16"/>
      <c r="N26" s="16"/>
      <c r="O26" s="16"/>
      <c r="P26" s="34"/>
      <c r="Q26" s="17"/>
      <c r="R26" s="18"/>
      <c r="S26" s="18"/>
      <c r="T26" s="19"/>
      <c r="U26" s="20"/>
      <c r="V26" s="20"/>
      <c r="W26" s="20"/>
      <c r="X26" s="21"/>
      <c r="Y26" s="22"/>
      <c r="Z26" s="21"/>
      <c r="AA26" s="23"/>
      <c r="AB26" s="24"/>
      <c r="AC26" s="25"/>
      <c r="AD26" s="24"/>
      <c r="AE26" s="26"/>
      <c r="AF26" s="26"/>
      <c r="AG26" s="26"/>
      <c r="AH26" s="27"/>
      <c r="AI26" s="27"/>
      <c r="AJ26" s="28"/>
      <c r="AK26" s="28"/>
      <c r="AL26" s="27"/>
      <c r="AM26" s="29"/>
      <c r="AN26" s="30"/>
      <c r="AO26" s="31"/>
      <c r="AP26" s="30"/>
      <c r="AQ26" s="32"/>
      <c r="AR26" s="33"/>
      <c r="AS26" s="32"/>
      <c r="AT26" s="33"/>
      <c r="AU26" s="62">
        <f t="shared" si="20"/>
        <v>185.8</v>
      </c>
      <c r="AV26" s="50"/>
      <c r="AW26" s="50"/>
      <c r="AX26" s="61">
        <v>1615200</v>
      </c>
      <c r="AY26" s="63">
        <v>185800</v>
      </c>
      <c r="AZ26" s="62">
        <f t="shared" si="21"/>
        <v>185.8</v>
      </c>
      <c r="BA26" s="35">
        <f t="shared" si="22"/>
        <v>185.8</v>
      </c>
    </row>
    <row r="27" spans="1:53" ht="16.5" x14ac:dyDescent="0.25">
      <c r="A27" s="41" t="s">
        <v>62</v>
      </c>
      <c r="B27" s="42">
        <v>600</v>
      </c>
      <c r="C27" s="43">
        <f t="shared" si="0"/>
        <v>3.1390603745945378E-2</v>
      </c>
      <c r="D27" s="14">
        <v>0.25</v>
      </c>
      <c r="E27" s="15">
        <f t="shared" si="1"/>
        <v>150</v>
      </c>
      <c r="F27" s="14">
        <v>14686</v>
      </c>
      <c r="G27" s="14">
        <v>5.0000000000000001E-3</v>
      </c>
      <c r="H27" s="15">
        <f t="shared" si="2"/>
        <v>73.430000000000007</v>
      </c>
      <c r="I27" s="14"/>
      <c r="J27" s="15"/>
      <c r="K27" s="14">
        <v>4</v>
      </c>
      <c r="L27" s="15">
        <f t="shared" si="3"/>
        <v>40</v>
      </c>
      <c r="M27" s="16">
        <v>50.8</v>
      </c>
      <c r="N27" s="16">
        <f t="shared" si="4"/>
        <v>55.88</v>
      </c>
      <c r="O27" s="16">
        <v>4</v>
      </c>
      <c r="P27" s="34">
        <f t="shared" si="23"/>
        <v>263.43</v>
      </c>
      <c r="Q27" s="17">
        <f t="shared" si="5"/>
        <v>59.88</v>
      </c>
      <c r="R27" s="18">
        <v>50</v>
      </c>
      <c r="S27" s="18">
        <f t="shared" si="6"/>
        <v>59.171288061107035</v>
      </c>
      <c r="T27" s="19">
        <f t="shared" si="7"/>
        <v>3.1390603745945378</v>
      </c>
      <c r="U27" s="20">
        <f t="shared" si="8"/>
        <v>10.170555613686302</v>
      </c>
      <c r="V27" s="20">
        <f t="shared" si="9"/>
        <v>9.4171811237836138</v>
      </c>
      <c r="W27" s="20">
        <f t="shared" si="10"/>
        <v>4.7085905618918069</v>
      </c>
      <c r="X27" s="21">
        <f t="shared" si="11"/>
        <v>131.89808517317149</v>
      </c>
      <c r="Y27" s="22">
        <v>15</v>
      </c>
      <c r="Z27" s="21">
        <f t="shared" si="12"/>
        <v>470.20808517317153</v>
      </c>
      <c r="AA27" s="23">
        <v>769</v>
      </c>
      <c r="AB27" s="24">
        <f t="shared" si="13"/>
        <v>298.79191482682847</v>
      </c>
      <c r="AC27" s="25">
        <f t="shared" si="34"/>
        <v>268.91272334414566</v>
      </c>
      <c r="AD27" s="24">
        <f t="shared" si="14"/>
        <v>104.09124202155488</v>
      </c>
      <c r="AE27" s="26">
        <f t="shared" si="15"/>
        <v>4.2436951603112408E-2</v>
      </c>
      <c r="AF27" s="26">
        <f t="shared" si="24"/>
        <v>6.652824638809586E-2</v>
      </c>
      <c r="AG27" s="26">
        <f t="shared" si="16"/>
        <v>163.63688538160145</v>
      </c>
      <c r="AH27" s="27">
        <f t="shared" si="17"/>
        <v>59.545643360046569</v>
      </c>
      <c r="AI27" s="27">
        <f t="shared" si="25"/>
        <v>256.53291807249764</v>
      </c>
      <c r="AJ27" s="28">
        <f t="shared" si="18"/>
        <v>505.57</v>
      </c>
      <c r="AK27" s="28">
        <f t="shared" si="26"/>
        <v>4.358362068965517E-2</v>
      </c>
      <c r="AL27" s="27">
        <f t="shared" si="27"/>
        <v>168.05844137931032</v>
      </c>
      <c r="AM27" s="29">
        <f t="shared" si="28"/>
        <v>170.95872192483858</v>
      </c>
      <c r="AN27" s="30">
        <f t="shared" si="29"/>
        <v>269.87395103382647</v>
      </c>
      <c r="AO27" s="31"/>
      <c r="AP27" s="30">
        <f t="shared" si="30"/>
        <v>175.98342586206894</v>
      </c>
      <c r="AQ27" s="32">
        <f t="shared" si="31"/>
        <v>14.97</v>
      </c>
      <c r="AR27" s="33">
        <f t="shared" si="19"/>
        <v>314.61657413793102</v>
      </c>
      <c r="AS27" s="32">
        <f t="shared" si="32"/>
        <v>134.10680086206895</v>
      </c>
      <c r="AT27" s="33">
        <f t="shared" si="33"/>
        <v>180.50977327586207</v>
      </c>
      <c r="AU27" s="62">
        <f t="shared" si="20"/>
        <v>103</v>
      </c>
      <c r="AV27" s="50"/>
      <c r="AW27" s="50"/>
      <c r="AX27" s="61">
        <v>891000</v>
      </c>
      <c r="AY27" s="63">
        <v>103000</v>
      </c>
      <c r="AZ27" s="62">
        <f t="shared" si="21"/>
        <v>103</v>
      </c>
      <c r="BA27" s="35">
        <f t="shared" si="22"/>
        <v>103</v>
      </c>
    </row>
    <row r="28" spans="1:53" ht="16.5" x14ac:dyDescent="0.25">
      <c r="A28" s="41" t="s">
        <v>63</v>
      </c>
      <c r="B28" s="42"/>
      <c r="C28" s="43"/>
      <c r="D28" s="14"/>
      <c r="E28" s="15"/>
      <c r="F28" s="14"/>
      <c r="G28" s="14"/>
      <c r="H28" s="15"/>
      <c r="I28" s="14"/>
      <c r="J28" s="15"/>
      <c r="K28" s="14"/>
      <c r="L28" s="15"/>
      <c r="M28" s="16"/>
      <c r="N28" s="16"/>
      <c r="O28" s="16"/>
      <c r="P28" s="34"/>
      <c r="Q28" s="17"/>
      <c r="R28" s="18"/>
      <c r="S28" s="18"/>
      <c r="T28" s="19"/>
      <c r="U28" s="20"/>
      <c r="V28" s="20"/>
      <c r="W28" s="20"/>
      <c r="X28" s="21"/>
      <c r="Y28" s="22"/>
      <c r="Z28" s="21"/>
      <c r="AA28" s="23"/>
      <c r="AB28" s="24"/>
      <c r="AC28" s="25"/>
      <c r="AD28" s="24"/>
      <c r="AE28" s="26"/>
      <c r="AF28" s="26"/>
      <c r="AG28" s="26"/>
      <c r="AH28" s="27"/>
      <c r="AI28" s="27"/>
      <c r="AJ28" s="28"/>
      <c r="AK28" s="28"/>
      <c r="AL28" s="27"/>
      <c r="AM28" s="29"/>
      <c r="AN28" s="30"/>
      <c r="AO28" s="31"/>
      <c r="AP28" s="30"/>
      <c r="AQ28" s="32"/>
      <c r="AR28" s="33"/>
      <c r="AS28" s="32"/>
      <c r="AT28" s="33"/>
      <c r="AU28" s="62">
        <f t="shared" si="20"/>
        <v>314.7</v>
      </c>
      <c r="AV28" s="50"/>
      <c r="AW28" s="50"/>
      <c r="AX28" s="61">
        <v>1863300</v>
      </c>
      <c r="AY28" s="63">
        <v>314700</v>
      </c>
      <c r="AZ28" s="62">
        <f t="shared" si="21"/>
        <v>314.7</v>
      </c>
      <c r="BA28" s="35">
        <f t="shared" si="22"/>
        <v>314.7</v>
      </c>
    </row>
    <row r="29" spans="1:53" ht="16.5" x14ac:dyDescent="0.25">
      <c r="A29" s="41" t="s">
        <v>66</v>
      </c>
      <c r="B29" s="42">
        <v>744</v>
      </c>
      <c r="C29" s="43">
        <f t="shared" si="0"/>
        <v>3.8924348644972274E-2</v>
      </c>
      <c r="D29" s="14">
        <v>0.25</v>
      </c>
      <c r="E29" s="15">
        <f t="shared" si="1"/>
        <v>186</v>
      </c>
      <c r="F29" s="14">
        <v>10624</v>
      </c>
      <c r="G29" s="14">
        <v>5.0000000000000001E-3</v>
      </c>
      <c r="H29" s="15">
        <f t="shared" si="2"/>
        <v>53.120000000000005</v>
      </c>
      <c r="I29" s="14"/>
      <c r="J29" s="15"/>
      <c r="K29" s="14">
        <v>3</v>
      </c>
      <c r="L29" s="15">
        <f t="shared" si="3"/>
        <v>30</v>
      </c>
      <c r="M29" s="16">
        <v>94.1</v>
      </c>
      <c r="N29" s="16">
        <f t="shared" si="4"/>
        <v>103.51</v>
      </c>
      <c r="O29" s="16">
        <v>90</v>
      </c>
      <c r="P29" s="34">
        <f t="shared" si="23"/>
        <v>269.12</v>
      </c>
      <c r="Q29" s="17">
        <f t="shared" si="5"/>
        <v>193.51</v>
      </c>
      <c r="R29" s="18">
        <v>50</v>
      </c>
      <c r="S29" s="18">
        <f t="shared" si="6"/>
        <v>73.372397195772734</v>
      </c>
      <c r="T29" s="19">
        <f t="shared" si="7"/>
        <v>3.8924348644972273</v>
      </c>
      <c r="U29" s="20">
        <f t="shared" si="8"/>
        <v>12.611488960971016</v>
      </c>
      <c r="V29" s="20">
        <f t="shared" si="9"/>
        <v>11.677304593491682</v>
      </c>
      <c r="W29" s="20">
        <f t="shared" si="10"/>
        <v>5.838652296745841</v>
      </c>
      <c r="X29" s="21">
        <f t="shared" si="11"/>
        <v>151.55362561473265</v>
      </c>
      <c r="Y29" s="22">
        <v>23</v>
      </c>
      <c r="Z29" s="21">
        <f t="shared" si="12"/>
        <v>637.18362561473259</v>
      </c>
      <c r="AA29" s="23">
        <v>819</v>
      </c>
      <c r="AB29" s="24">
        <f t="shared" si="13"/>
        <v>181.81637438526741</v>
      </c>
      <c r="AC29" s="25">
        <f t="shared" si="34"/>
        <v>163.63473694674067</v>
      </c>
      <c r="AD29" s="24">
        <f t="shared" si="14"/>
        <v>129.07314010672806</v>
      </c>
      <c r="AE29" s="26">
        <f t="shared" si="15"/>
        <v>4.5196181226201643E-2</v>
      </c>
      <c r="AF29" s="26">
        <f t="shared" si="24"/>
        <v>7.0853880093433685E-2</v>
      </c>
      <c r="AG29" s="26">
        <f t="shared" si="16"/>
        <v>174.27647480823353</v>
      </c>
      <c r="AH29" s="27">
        <f t="shared" si="17"/>
        <v>45.203334701505469</v>
      </c>
      <c r="AI29" s="27">
        <f t="shared" si="25"/>
        <v>273.21256164028028</v>
      </c>
      <c r="AJ29" s="28">
        <f t="shared" si="18"/>
        <v>549.88</v>
      </c>
      <c r="AK29" s="28">
        <f t="shared" si="26"/>
        <v>4.740344827586207E-2</v>
      </c>
      <c r="AL29" s="27">
        <f t="shared" si="27"/>
        <v>182.78769655172414</v>
      </c>
      <c r="AM29" s="29">
        <f t="shared" si="28"/>
        <v>175.0496661332156</v>
      </c>
      <c r="AN29" s="30">
        <f t="shared" si="29"/>
        <v>280.39631456008306</v>
      </c>
      <c r="AO29" s="31"/>
      <c r="AP29" s="30">
        <f t="shared" si="30"/>
        <v>184.72191034482759</v>
      </c>
      <c r="AQ29" s="32">
        <f t="shared" si="31"/>
        <v>48.377499999999998</v>
      </c>
      <c r="AR29" s="33">
        <f t="shared" si="19"/>
        <v>316.78058965517238</v>
      </c>
      <c r="AS29" s="32">
        <f t="shared" si="32"/>
        <v>145.86041034482759</v>
      </c>
      <c r="AT29" s="33">
        <f t="shared" si="33"/>
        <v>170.92017931034479</v>
      </c>
      <c r="AU29" s="62">
        <f t="shared" si="20"/>
        <v>88.2</v>
      </c>
      <c r="AV29" s="50"/>
      <c r="AW29" s="50"/>
      <c r="AX29" s="61">
        <v>1590800</v>
      </c>
      <c r="AY29" s="63">
        <v>88200</v>
      </c>
      <c r="AZ29" s="62">
        <f t="shared" si="21"/>
        <v>88.2</v>
      </c>
      <c r="BA29" s="35">
        <f t="shared" si="22"/>
        <v>88.2</v>
      </c>
    </row>
    <row r="30" spans="1:53" ht="16.5" x14ac:dyDescent="0.25">
      <c r="A30" s="41" t="s">
        <v>67</v>
      </c>
      <c r="B30" s="42">
        <v>958</v>
      </c>
      <c r="C30" s="43">
        <f t="shared" si="0"/>
        <v>5.0120330647692793E-2</v>
      </c>
      <c r="D30" s="14">
        <v>0.25</v>
      </c>
      <c r="E30" s="15">
        <f t="shared" si="1"/>
        <v>239.5</v>
      </c>
      <c r="F30" s="14">
        <v>13500</v>
      </c>
      <c r="G30" s="14">
        <v>5.0000000000000001E-3</v>
      </c>
      <c r="H30" s="15">
        <f t="shared" si="2"/>
        <v>67.5</v>
      </c>
      <c r="I30" s="14"/>
      <c r="J30" s="15"/>
      <c r="K30" s="14">
        <v>3</v>
      </c>
      <c r="L30" s="15">
        <f t="shared" si="3"/>
        <v>30</v>
      </c>
      <c r="M30" s="16">
        <v>170.5</v>
      </c>
      <c r="N30" s="16">
        <f t="shared" si="4"/>
        <v>187.55</v>
      </c>
      <c r="O30" s="16">
        <v>2</v>
      </c>
      <c r="P30" s="34">
        <f t="shared" si="23"/>
        <v>337</v>
      </c>
      <c r="Q30" s="17">
        <f t="shared" si="5"/>
        <v>189.55</v>
      </c>
      <c r="R30" s="18">
        <v>50</v>
      </c>
      <c r="S30" s="18">
        <f t="shared" si="6"/>
        <v>94.476823270900908</v>
      </c>
      <c r="T30" s="19">
        <f t="shared" si="7"/>
        <v>5.0120330647692795</v>
      </c>
      <c r="U30" s="20">
        <f t="shared" si="8"/>
        <v>16.238987129852465</v>
      </c>
      <c r="V30" s="20">
        <f t="shared" si="9"/>
        <v>15.036099194307837</v>
      </c>
      <c r="W30" s="20">
        <f t="shared" si="10"/>
        <v>7.5180495971539187</v>
      </c>
      <c r="X30" s="21">
        <f t="shared" si="11"/>
        <v>180.76394265983049</v>
      </c>
      <c r="Y30" s="22">
        <v>15</v>
      </c>
      <c r="Z30" s="21">
        <f t="shared" si="12"/>
        <v>722.31394265983045</v>
      </c>
      <c r="AA30" s="23">
        <v>894</v>
      </c>
      <c r="AB30" s="24">
        <f t="shared" si="13"/>
        <v>171.68605734016955</v>
      </c>
      <c r="AC30" s="25">
        <f t="shared" si="34"/>
        <v>154.5174516061526</v>
      </c>
      <c r="AD30" s="24">
        <f t="shared" si="14"/>
        <v>166.19901642774931</v>
      </c>
      <c r="AE30" s="26">
        <f t="shared" si="15"/>
        <v>4.9335025660835495E-2</v>
      </c>
      <c r="AF30" s="26">
        <f t="shared" si="24"/>
        <v>7.734233065144043E-2</v>
      </c>
      <c r="AG30" s="26">
        <f t="shared" si="16"/>
        <v>190.23585894818166</v>
      </c>
      <c r="AH30" s="27">
        <f t="shared" si="17"/>
        <v>24.036842520432344</v>
      </c>
      <c r="AI30" s="27">
        <f t="shared" si="25"/>
        <v>298.23202699195429</v>
      </c>
      <c r="AJ30" s="28">
        <f t="shared" si="18"/>
        <v>557</v>
      </c>
      <c r="AK30" s="28">
        <f t="shared" si="26"/>
        <v>4.8017241379310342E-2</v>
      </c>
      <c r="AL30" s="27">
        <f t="shared" si="27"/>
        <v>185.15448275862067</v>
      </c>
      <c r="AM30" s="29">
        <f t="shared" si="28"/>
        <v>201.18608244578115</v>
      </c>
      <c r="AN30" s="30">
        <f t="shared" si="29"/>
        <v>316.1798598494679</v>
      </c>
      <c r="AO30" s="31"/>
      <c r="AP30" s="30">
        <f t="shared" si="30"/>
        <v>195.41155172413792</v>
      </c>
      <c r="AQ30" s="32">
        <f t="shared" si="31"/>
        <v>47.387500000000003</v>
      </c>
      <c r="AR30" s="33">
        <f t="shared" si="19"/>
        <v>314.20094827586212</v>
      </c>
      <c r="AS30" s="32">
        <f t="shared" si="32"/>
        <v>147.74905172413793</v>
      </c>
      <c r="AT30" s="33">
        <f t="shared" si="33"/>
        <v>166.45189655172419</v>
      </c>
      <c r="AU30" s="62">
        <f t="shared" si="20"/>
        <v>329.5</v>
      </c>
      <c r="AV30" s="50"/>
      <c r="AW30" s="50"/>
      <c r="AX30" s="61">
        <v>1754500</v>
      </c>
      <c r="AY30" s="63">
        <v>329500</v>
      </c>
      <c r="AZ30" s="62">
        <f t="shared" si="21"/>
        <v>329.5</v>
      </c>
      <c r="BA30" s="35">
        <f t="shared" si="22"/>
        <v>329.5</v>
      </c>
    </row>
    <row r="31" spans="1:53" ht="16.5" x14ac:dyDescent="0.25">
      <c r="A31" s="41" t="s">
        <v>68</v>
      </c>
      <c r="B31" s="42">
        <v>489</v>
      </c>
      <c r="C31" s="43">
        <f t="shared" si="0"/>
        <v>2.5583342052945483E-2</v>
      </c>
      <c r="D31" s="14">
        <v>0.25</v>
      </c>
      <c r="E31" s="15">
        <f t="shared" si="1"/>
        <v>122.25</v>
      </c>
      <c r="F31" s="14">
        <v>7590.4</v>
      </c>
      <c r="G31" s="14">
        <v>5.0000000000000001E-3</v>
      </c>
      <c r="H31" s="15">
        <f t="shared" si="2"/>
        <v>37.951999999999998</v>
      </c>
      <c r="I31" s="14"/>
      <c r="J31" s="15"/>
      <c r="K31" s="14">
        <v>3</v>
      </c>
      <c r="L31" s="15">
        <f t="shared" si="3"/>
        <v>30</v>
      </c>
      <c r="M31" s="16">
        <v>100.1</v>
      </c>
      <c r="N31" s="16">
        <f t="shared" si="4"/>
        <v>110.11</v>
      </c>
      <c r="O31" s="16"/>
      <c r="P31" s="34">
        <f t="shared" si="23"/>
        <v>190.202</v>
      </c>
      <c r="Q31" s="17">
        <f t="shared" si="5"/>
        <v>110.11</v>
      </c>
      <c r="R31" s="18">
        <v>50</v>
      </c>
      <c r="S31" s="18">
        <f t="shared" si="6"/>
        <v>48.224599769802239</v>
      </c>
      <c r="T31" s="19">
        <f t="shared" si="7"/>
        <v>2.5583342052945484</v>
      </c>
      <c r="U31" s="20">
        <f t="shared" si="8"/>
        <v>8.289002825154336</v>
      </c>
      <c r="V31" s="20">
        <f t="shared" si="9"/>
        <v>7.6750026158836446</v>
      </c>
      <c r="W31" s="20">
        <f t="shared" si="10"/>
        <v>3.8375013079418223</v>
      </c>
      <c r="X31" s="21">
        <f t="shared" si="11"/>
        <v>116.74693941613477</v>
      </c>
      <c r="Y31" s="22"/>
      <c r="Z31" s="21">
        <f t="shared" si="12"/>
        <v>417.05893941613476</v>
      </c>
      <c r="AA31" s="23">
        <v>644</v>
      </c>
      <c r="AB31" s="24">
        <f t="shared" si="13"/>
        <v>226.94106058386524</v>
      </c>
      <c r="AC31" s="25">
        <f t="shared" si="34"/>
        <v>204.24695452547871</v>
      </c>
      <c r="AD31" s="24">
        <f t="shared" si="14"/>
        <v>84.834362247567228</v>
      </c>
      <c r="AE31" s="26">
        <f t="shared" si="15"/>
        <v>3.5538877545389327E-2</v>
      </c>
      <c r="AF31" s="26">
        <f t="shared" si="24"/>
        <v>5.5714162124751276E-2</v>
      </c>
      <c r="AG31" s="26">
        <f t="shared" si="16"/>
        <v>137.03791181502126</v>
      </c>
      <c r="AH31" s="27">
        <f t="shared" si="17"/>
        <v>52.203549567454033</v>
      </c>
      <c r="AI31" s="27">
        <f t="shared" si="25"/>
        <v>214.83380915304093</v>
      </c>
      <c r="AJ31" s="28">
        <f t="shared" si="18"/>
        <v>453.798</v>
      </c>
      <c r="AK31" s="28">
        <f t="shared" si="26"/>
        <v>3.9120517241379313E-2</v>
      </c>
      <c r="AL31" s="27">
        <f t="shared" si="27"/>
        <v>150.84871448275862</v>
      </c>
      <c r="AM31" s="29">
        <f t="shared" si="28"/>
        <v>155.73136140389605</v>
      </c>
      <c r="AN31" s="30">
        <f t="shared" si="29"/>
        <v>238.56804221818496</v>
      </c>
      <c r="AO31" s="31"/>
      <c r="AP31" s="30">
        <f t="shared" si="30"/>
        <v>171.42610655172416</v>
      </c>
      <c r="AQ31" s="32">
        <f t="shared" si="31"/>
        <v>27.5275</v>
      </c>
      <c r="AR31" s="33">
        <f t="shared" si="19"/>
        <v>254.84439344827584</v>
      </c>
      <c r="AS31" s="32">
        <f t="shared" si="32"/>
        <v>120.37383155172415</v>
      </c>
      <c r="AT31" s="33">
        <f t="shared" si="33"/>
        <v>134.47056189655169</v>
      </c>
      <c r="AU31" s="62">
        <f t="shared" si="20"/>
        <v>178.1</v>
      </c>
      <c r="AV31" s="58"/>
      <c r="AW31" s="58"/>
      <c r="AX31" s="61">
        <v>1944900</v>
      </c>
      <c r="AY31" s="63">
        <v>178100</v>
      </c>
      <c r="AZ31" s="62">
        <f t="shared" si="21"/>
        <v>178.1</v>
      </c>
      <c r="BA31" s="35">
        <f t="shared" si="22"/>
        <v>178.1</v>
      </c>
    </row>
    <row r="32" spans="1:53" ht="16.5" x14ac:dyDescent="0.25">
      <c r="A32" s="35" t="s">
        <v>13</v>
      </c>
      <c r="B32" s="44">
        <f t="shared" ref="B32:I32" si="35">SUM(B15:B31)</f>
        <v>10867</v>
      </c>
      <c r="C32" s="44">
        <f t="shared" si="35"/>
        <v>0.56853615151198078</v>
      </c>
      <c r="D32" s="44">
        <f t="shared" si="35"/>
        <v>3.25</v>
      </c>
      <c r="E32" s="45">
        <f t="shared" si="35"/>
        <v>2716.75</v>
      </c>
      <c r="F32" s="44">
        <f t="shared" si="35"/>
        <v>126247.09999999999</v>
      </c>
      <c r="G32" s="44">
        <f t="shared" si="35"/>
        <v>6.4999999999999988E-2</v>
      </c>
      <c r="H32" s="45">
        <f t="shared" si="35"/>
        <v>631.2355</v>
      </c>
      <c r="I32" s="44">
        <f t="shared" si="35"/>
        <v>0</v>
      </c>
      <c r="J32" s="45"/>
      <c r="K32" s="44">
        <f t="shared" ref="K32:S32" si="36">SUM(K15:K31)</f>
        <v>63</v>
      </c>
      <c r="L32" s="45">
        <f t="shared" si="36"/>
        <v>630</v>
      </c>
      <c r="M32" s="46">
        <f t="shared" si="36"/>
        <v>1687.1999999999998</v>
      </c>
      <c r="N32" s="46">
        <f t="shared" si="36"/>
        <v>1855.9200000000003</v>
      </c>
      <c r="O32" s="46">
        <f t="shared" si="36"/>
        <v>734</v>
      </c>
      <c r="P32" s="40">
        <f t="shared" si="36"/>
        <v>3977.9954999999991</v>
      </c>
      <c r="Q32" s="47">
        <f t="shared" si="36"/>
        <v>2589.9200000000005</v>
      </c>
      <c r="R32" s="48">
        <f t="shared" si="36"/>
        <v>650</v>
      </c>
      <c r="S32" s="48">
        <f t="shared" si="36"/>
        <v>1071.6906456000838</v>
      </c>
      <c r="T32" s="48">
        <v>100</v>
      </c>
      <c r="U32" s="48">
        <f t="shared" ref="U32:AP32" si="37">SUM(U15:U31)</f>
        <v>184.20571308988175</v>
      </c>
      <c r="V32" s="48">
        <f t="shared" si="37"/>
        <v>170.5608454535942</v>
      </c>
      <c r="W32" s="48">
        <f t="shared" si="37"/>
        <v>85.280422726797099</v>
      </c>
      <c r="X32" s="36">
        <f t="shared" si="37"/>
        <v>2133.3108192947579</v>
      </c>
      <c r="Y32" s="47">
        <f t="shared" si="37"/>
        <v>430</v>
      </c>
      <c r="Z32" s="36">
        <f t="shared" si="37"/>
        <v>9131.2263192947557</v>
      </c>
      <c r="AA32" s="36">
        <f t="shared" si="37"/>
        <v>11559</v>
      </c>
      <c r="AB32" s="36">
        <f t="shared" si="37"/>
        <v>2427.773680705242</v>
      </c>
      <c r="AC32" s="36">
        <f t="shared" si="37"/>
        <v>2310.7933859893274</v>
      </c>
      <c r="AD32" s="36">
        <f t="shared" si="37"/>
        <v>1885.2658784137279</v>
      </c>
      <c r="AE32" s="36">
        <f t="shared" si="37"/>
        <v>0.63787870426576898</v>
      </c>
      <c r="AF32" s="36">
        <f t="shared" si="37"/>
        <v>1</v>
      </c>
      <c r="AG32" s="36">
        <f t="shared" si="37"/>
        <v>2459.6602836488055</v>
      </c>
      <c r="AH32" s="37">
        <f t="shared" si="37"/>
        <v>574.3944052350771</v>
      </c>
      <c r="AI32" s="37">
        <f t="shared" si="37"/>
        <v>3856</v>
      </c>
      <c r="AJ32" s="38">
        <f t="shared" si="37"/>
        <v>7581.0044999999991</v>
      </c>
      <c r="AK32" s="38">
        <f t="shared" si="37"/>
        <v>0.6535348706896551</v>
      </c>
      <c r="AL32" s="37">
        <f t="shared" si="37"/>
        <v>2520.0304613793105</v>
      </c>
      <c r="AM32" s="39">
        <f t="shared" si="37"/>
        <v>2365.1844820925999</v>
      </c>
      <c r="AN32" s="39">
        <f t="shared" si="37"/>
        <v>3852</v>
      </c>
      <c r="AO32" s="31"/>
      <c r="AP32" s="39">
        <f t="shared" si="37"/>
        <v>2433.7898033620695</v>
      </c>
      <c r="AQ32" s="36">
        <f t="shared" ref="AQ32:AW32" si="38">SUM(AQ15:AQ31)</f>
        <v>647.48000000000013</v>
      </c>
      <c r="AR32" s="36">
        <f t="shared" si="38"/>
        <v>4499.73469663793</v>
      </c>
      <c r="AS32" s="36">
        <f t="shared" si="38"/>
        <v>2010.9267971120689</v>
      </c>
      <c r="AT32" s="36">
        <f t="shared" si="38"/>
        <v>2488.807899525862</v>
      </c>
      <c r="AU32" s="49">
        <f t="shared" si="38"/>
        <v>3351.9999999999995</v>
      </c>
      <c r="AV32" s="49">
        <f t="shared" si="38"/>
        <v>0</v>
      </c>
      <c r="AW32" s="49">
        <f t="shared" si="38"/>
        <v>0</v>
      </c>
      <c r="AX32" s="49">
        <f t="shared" ref="AX32" si="39">SUM(AX15:AX31)</f>
        <v>26702500</v>
      </c>
      <c r="AZ32" s="49">
        <f t="shared" ref="AZ32:BA32" si="40">SUM(AZ15:AZ31)</f>
        <v>3351.9999999999995</v>
      </c>
      <c r="BA32" s="49">
        <f t="shared" si="40"/>
        <v>3351.9999999999995</v>
      </c>
    </row>
    <row r="33" spans="8:44" x14ac:dyDescent="0.2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8:44" x14ac:dyDescent="0.2">
      <c r="H34" s="73" t="s">
        <v>25</v>
      </c>
      <c r="I34" s="73"/>
      <c r="J34" s="73"/>
      <c r="K34" s="73"/>
      <c r="L34" s="73"/>
      <c r="M34" s="1"/>
      <c r="N34" s="1"/>
      <c r="O34" s="1" t="s">
        <v>31</v>
      </c>
      <c r="P34" s="2"/>
      <c r="Q34" s="3">
        <f>Q32</f>
        <v>2589.9200000000005</v>
      </c>
      <c r="R34" s="1"/>
      <c r="S34" s="1"/>
      <c r="T34" s="1"/>
      <c r="U34" s="72" t="s">
        <v>34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8:44" x14ac:dyDescent="0.2">
      <c r="M35" s="1"/>
      <c r="N35" s="1"/>
      <c r="O35" s="1" t="s">
        <v>30</v>
      </c>
      <c r="P35" s="4"/>
      <c r="Q35" s="1"/>
      <c r="R35" s="1"/>
      <c r="S35" s="70" t="s">
        <v>26</v>
      </c>
      <c r="T35" s="70"/>
      <c r="U35" s="70"/>
      <c r="V35" s="70"/>
      <c r="W35" s="70"/>
      <c r="X35" s="70"/>
      <c r="Y35" s="1"/>
      <c r="Z35" s="1"/>
      <c r="AA35" s="1"/>
      <c r="AB35" s="1"/>
      <c r="AC35" s="5">
        <f>AC32</f>
        <v>2310.7933859893274</v>
      </c>
      <c r="AD35" s="1"/>
      <c r="AE35" s="1"/>
      <c r="AF35" s="1"/>
      <c r="AG35" s="1"/>
      <c r="AL35" s="68" t="s">
        <v>47</v>
      </c>
      <c r="AM35" s="68"/>
      <c r="AN35" s="68"/>
      <c r="AO35" s="68"/>
      <c r="AP35" s="68"/>
      <c r="AQ35" s="68"/>
      <c r="AR35" s="68"/>
    </row>
  </sheetData>
  <mergeCells count="35">
    <mergeCell ref="AI12:AI13"/>
    <mergeCell ref="AN12:AN13"/>
    <mergeCell ref="AG12:AG13"/>
    <mergeCell ref="AJ12:AJ13"/>
    <mergeCell ref="AK12:AK13"/>
    <mergeCell ref="AP12:AP13"/>
    <mergeCell ref="P1:BA1"/>
    <mergeCell ref="P3:BA3"/>
    <mergeCell ref="A2:BA2"/>
    <mergeCell ref="A13:A14"/>
    <mergeCell ref="M7:S7"/>
    <mergeCell ref="AU14:BA14"/>
    <mergeCell ref="A8:BA10"/>
    <mergeCell ref="R12:X12"/>
    <mergeCell ref="AL12:AL13"/>
    <mergeCell ref="AT12:AT13"/>
    <mergeCell ref="AU13:AX13"/>
    <mergeCell ref="AU11:AW11"/>
    <mergeCell ref="AF12:AF13"/>
    <mergeCell ref="AR12:AR13"/>
    <mergeCell ref="AM12:AM13"/>
    <mergeCell ref="AS12:AS13"/>
    <mergeCell ref="AL35:AR35"/>
    <mergeCell ref="E6:Y6"/>
    <mergeCell ref="S35:X35"/>
    <mergeCell ref="AA12:AA13"/>
    <mergeCell ref="AB12:AB13"/>
    <mergeCell ref="AC12:AC13"/>
    <mergeCell ref="AE12:AE13"/>
    <mergeCell ref="U34:AG34"/>
    <mergeCell ref="H34:L34"/>
    <mergeCell ref="Y12:Y13"/>
    <mergeCell ref="AQ12:AQ13"/>
    <mergeCell ref="Z12:Z13"/>
    <mergeCell ref="AD12:AD13"/>
  </mergeCells>
  <phoneticPr fontId="3" type="noConversion"/>
  <pageMargins left="0.83" right="0.35433070866141736" top="0.59055118110236227" bottom="0.51181102362204722" header="0.51181102362204722" footer="0.51181102362204722"/>
  <pageSetup paperSize="9" scale="82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PlechistovaGA</dc:creator>
  <cp:lastModifiedBy>Татьяна Алексеевна Белоусова</cp:lastModifiedBy>
  <cp:lastPrinted>2021-11-13T11:02:38Z</cp:lastPrinted>
  <dcterms:created xsi:type="dcterms:W3CDTF">2015-10-29T12:51:49Z</dcterms:created>
  <dcterms:modified xsi:type="dcterms:W3CDTF">2023-11-13T10:38:43Z</dcterms:modified>
</cp:coreProperties>
</file>